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585" tabRatio="785" activeTab="5"/>
  </bookViews>
  <sheets>
    <sheet name="Übersicht" sheetId="1" r:id="rId1"/>
    <sheet name="Protokoll" sheetId="2" r:id="rId2"/>
    <sheet name="Spielerdaten" sheetId="3" r:id="rId3"/>
    <sheet name="Tabelle" sheetId="4" r:id="rId4"/>
    <sheet name="Hinrunde" sheetId="5" r:id="rId5"/>
    <sheet name="Rückrunde" sheetId="6" r:id="rId6"/>
    <sheet name="Schiedsrichter" sheetId="7" r:id="rId7"/>
    <sheet name="Saisondaten" sheetId="8" state="hidden" r:id="rId8"/>
    <sheet name="SpielerDB" sheetId="9" state="hidden" r:id="rId9"/>
    <sheet name="SpieleDB" sheetId="10" r:id="rId10"/>
    <sheet name="TabellenDB" sheetId="11" state="hidden" r:id="rId11"/>
  </sheets>
  <definedNames>
    <definedName name="_xlnm.Print_Area" localSheetId="4">'Hinrunde'!$A$1:$M$38</definedName>
    <definedName name="_xlnm.Print_Area" localSheetId="1">'Protokoll'!$B$2:$S$51</definedName>
    <definedName name="_xlnm.Print_Area" localSheetId="5">'Rückrunde'!$A$1:$M$38</definedName>
    <definedName name="_xlnm.Print_Area" localSheetId="6">'Schiedsrichter'!$A$1:$U$85</definedName>
    <definedName name="_xlnm.Print_Area" localSheetId="2">'Spielerdaten'!$A$1:$W$29</definedName>
    <definedName name="_xlnm.Print_Area" localSheetId="3">'Tabelle'!$B$2:$M$15</definedName>
    <definedName name="_xlnm.Print_Area" localSheetId="0">'Übersicht'!$A$1:$I$34</definedName>
    <definedName name="Z_3D27BF9C_2975_499B_AEAD_8946D9740FF2_.wvu.Cols" localSheetId="5" hidden="1">'Rückrunde'!$O:$BW</definedName>
    <definedName name="Z_3D27BF9C_2975_499B_AEAD_8946D9740FF2_.wvu.PrintArea" localSheetId="4" hidden="1">'Hinrunde'!$A$1:$M$38</definedName>
    <definedName name="Z_3D27BF9C_2975_499B_AEAD_8946D9740FF2_.wvu.PrintArea" localSheetId="1" hidden="1">'Protokoll'!$B$2:$S$51</definedName>
    <definedName name="Z_3D27BF9C_2975_499B_AEAD_8946D9740FF2_.wvu.PrintArea" localSheetId="5" hidden="1">'Rückrunde'!$A$1:$M$38</definedName>
    <definedName name="Z_3D27BF9C_2975_499B_AEAD_8946D9740FF2_.wvu.PrintArea" localSheetId="6" hidden="1">'Schiedsrichter'!$A$1:$U$85</definedName>
    <definedName name="Z_3D27BF9C_2975_499B_AEAD_8946D9740FF2_.wvu.PrintArea" localSheetId="2" hidden="1">'Spielerdaten'!$A$1:$W$29</definedName>
    <definedName name="Z_3D27BF9C_2975_499B_AEAD_8946D9740FF2_.wvu.PrintArea" localSheetId="3" hidden="1">'Tabelle'!$B$2:$M$15</definedName>
    <definedName name="Z_3D27BF9C_2975_499B_AEAD_8946D9740FF2_.wvu.Rows" localSheetId="1" hidden="1">'Protokoll'!$55:$65</definedName>
  </definedNames>
  <calcPr fullCalcOnLoad="1"/>
</workbook>
</file>

<file path=xl/sharedStrings.xml><?xml version="1.0" encoding="utf-8"?>
<sst xmlns="http://schemas.openxmlformats.org/spreadsheetml/2006/main" count="802" uniqueCount="138">
  <si>
    <t>Datum</t>
  </si>
  <si>
    <t>2. Spieltag</t>
  </si>
  <si>
    <t>4. Spieltag</t>
  </si>
  <si>
    <t>Ort</t>
  </si>
  <si>
    <t>Saison</t>
  </si>
  <si>
    <t>Mannschaften</t>
  </si>
  <si>
    <t>Gruppe</t>
  </si>
  <si>
    <t>1.</t>
  </si>
  <si>
    <t>2.</t>
  </si>
  <si>
    <t>3.</t>
  </si>
  <si>
    <t>4.</t>
  </si>
  <si>
    <t>5.</t>
  </si>
  <si>
    <t>6.</t>
  </si>
  <si>
    <t>Nummer</t>
  </si>
  <si>
    <t>Name</t>
  </si>
  <si>
    <t>Vorname</t>
  </si>
  <si>
    <t>-</t>
  </si>
  <si>
    <t>Schiedsrichter</t>
  </si>
  <si>
    <t>T</t>
  </si>
  <si>
    <t>ACC Hamburg</t>
  </si>
  <si>
    <t>KCNW Berlin</t>
  </si>
  <si>
    <t>Von</t>
  </si>
  <si>
    <t>Bis</t>
  </si>
  <si>
    <t>Spiel</t>
  </si>
  <si>
    <t>Feld</t>
  </si>
  <si>
    <t>Zeit</t>
  </si>
  <si>
    <t>Ergebnis</t>
  </si>
  <si>
    <t>/</t>
  </si>
  <si>
    <t>:</t>
  </si>
  <si>
    <t>Platz</t>
  </si>
  <si>
    <t>Mannschaft</t>
  </si>
  <si>
    <t>Spiele</t>
  </si>
  <si>
    <t>U</t>
  </si>
  <si>
    <t>Punkte</t>
  </si>
  <si>
    <t>Torverhältnis</t>
  </si>
  <si>
    <t>+</t>
  </si>
  <si>
    <t>Differenz</t>
  </si>
  <si>
    <t>Gesamttabelle</t>
  </si>
  <si>
    <t>N</t>
  </si>
  <si>
    <t>S</t>
  </si>
  <si>
    <t>ID</t>
  </si>
  <si>
    <t>Die Kader immer zum aktuellen Spieltag aktuallisieren</t>
  </si>
  <si>
    <t>Setzliste Hinrunde</t>
  </si>
  <si>
    <t>Hinrunde Vollständig?</t>
  </si>
  <si>
    <t>Auswahl</t>
  </si>
  <si>
    <t>Hinrunde</t>
  </si>
  <si>
    <t>Rückrunde</t>
  </si>
  <si>
    <t>Möglichkeiten</t>
  </si>
  <si>
    <t>Team1</t>
  </si>
  <si>
    <t>Team2</t>
  </si>
  <si>
    <t>Gültig</t>
  </si>
  <si>
    <t>P</t>
  </si>
  <si>
    <t>Rang</t>
  </si>
  <si>
    <t>Berechnungshilfe</t>
  </si>
  <si>
    <t>Gesamt</t>
  </si>
  <si>
    <t>Verein</t>
  </si>
  <si>
    <t>Deutscher Kanu-Verband e.V.</t>
  </si>
  <si>
    <t>Ressort Kanupolo</t>
  </si>
  <si>
    <t>Kanupolo - Spielbericht</t>
  </si>
  <si>
    <t>Min.</t>
  </si>
  <si>
    <t>Spieler Nr.:</t>
  </si>
  <si>
    <t>Stand:</t>
  </si>
  <si>
    <t>Veranstaltung:</t>
  </si>
  <si>
    <t>Spiel-Nr.:</t>
  </si>
  <si>
    <t>Spielbeginn :</t>
  </si>
  <si>
    <t>Spielfeld :</t>
  </si>
  <si>
    <t>Datum:</t>
  </si>
  <si>
    <t>Spielzeit:</t>
  </si>
  <si>
    <t>2x10 min</t>
  </si>
  <si>
    <t>Pause:</t>
  </si>
  <si>
    <t>3 min</t>
  </si>
  <si>
    <t>Schiedsrichterteam:</t>
  </si>
  <si>
    <t/>
  </si>
  <si>
    <t>Protokollführer:</t>
  </si>
  <si>
    <t>Linienrichter:</t>
  </si>
  <si>
    <t>Bootsprüfer:</t>
  </si>
  <si>
    <t>Spielentscheidung:</t>
  </si>
  <si>
    <t>Nr.</t>
  </si>
  <si>
    <t>Halbzeitstand:</t>
  </si>
  <si>
    <t>Endstand:</t>
  </si>
  <si>
    <t xml:space="preserve">Spielbericht rückseitig ? </t>
  </si>
  <si>
    <t>Zeit bei Spielende:</t>
  </si>
  <si>
    <t>Unterschriften der Schiedsrichter</t>
  </si>
  <si>
    <t>Mannschaftsführer mit * kennzeichnen</t>
  </si>
  <si>
    <t>Mannschaft 1</t>
  </si>
  <si>
    <t>Mannschaft 2</t>
  </si>
  <si>
    <t>Shotclock:</t>
  </si>
  <si>
    <t>Zeitnehmer:</t>
  </si>
  <si>
    <r>
      <t xml:space="preserve">Bemerkungen:
</t>
    </r>
    <r>
      <rPr>
        <sz val="10"/>
        <color indexed="8"/>
        <rFont val="Segoe UI"/>
        <family val="2"/>
      </rPr>
      <t>(z.B.: Bergündung Karten)</t>
    </r>
  </si>
  <si>
    <t xml:space="preserve">   Ja</t>
  </si>
  <si>
    <t xml:space="preserve">   Nein</t>
  </si>
  <si>
    <t>Bearbeitungsvermerke der Wettkampfleitung / Jury:</t>
  </si>
  <si>
    <t>1. Schiedsrichter:</t>
  </si>
  <si>
    <t>2. Schiedsrichter:</t>
  </si>
  <si>
    <t>Team ID</t>
  </si>
  <si>
    <t>Spielnr</t>
  </si>
  <si>
    <t>Spieltyp</t>
  </si>
  <si>
    <t>Spieltag</t>
  </si>
  <si>
    <t>Spielnr.</t>
  </si>
  <si>
    <t>Mannschaft1</t>
  </si>
  <si>
    <t>Mannschaft2</t>
  </si>
  <si>
    <t>1. Schiedsrichter</t>
  </si>
  <si>
    <t>Protokollführer</t>
  </si>
  <si>
    <t>Zeitnehmer</t>
  </si>
  <si>
    <t>Shotclock</t>
  </si>
  <si>
    <t>2. Schiedsrichter</t>
  </si>
  <si>
    <t>Linienrichter 1</t>
  </si>
  <si>
    <t>Team 1</t>
  </si>
  <si>
    <t>Team 2</t>
  </si>
  <si>
    <t>Begegnung</t>
  </si>
  <si>
    <t>Schiedsrichterteams</t>
  </si>
  <si>
    <t>Gültig?</t>
  </si>
  <si>
    <t>Bootsprüfer</t>
  </si>
  <si>
    <t>Linienrichter 2</t>
  </si>
  <si>
    <t>Nr</t>
  </si>
  <si>
    <t>Setzliste Rückrunde (automatisch generiert)</t>
  </si>
  <si>
    <t>Spieltage</t>
  </si>
  <si>
    <t>Playoffs</t>
  </si>
  <si>
    <t>Alle</t>
  </si>
  <si>
    <t>7.</t>
  </si>
  <si>
    <t>8.</t>
  </si>
  <si>
    <t>Damen</t>
  </si>
  <si>
    <t>|</t>
  </si>
  <si>
    <t>Deutsche Kanupolo Bundesliga</t>
  </si>
  <si>
    <t>1. Spieltag:</t>
  </si>
  <si>
    <t>2. Spieltag:</t>
  </si>
  <si>
    <t>Playoffs/Playdowns:</t>
  </si>
  <si>
    <t>Teilnehmende Vereine</t>
  </si>
  <si>
    <t>KP Münster</t>
  </si>
  <si>
    <t>KRM Essen</t>
  </si>
  <si>
    <t>PSC Coburg</t>
  </si>
  <si>
    <t>WSF Liblar</t>
  </si>
  <si>
    <t>KSVH Berlin</t>
  </si>
  <si>
    <t>1. MKC Duisburg</t>
  </si>
  <si>
    <t>Liblar</t>
  </si>
  <si>
    <t>Coburg</t>
  </si>
  <si>
    <t>Brandenburg a.d. Havel</t>
  </si>
  <si>
    <t>1. Bundesliga Damen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</si>
</sst>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h:mm;@"/>
    <numFmt numFmtId="166" formatCode="dd/mm/yy;@"/>
    <numFmt numFmtId="167" formatCode="[$-407]dddd\,\ d\.\ mmmm\ yyyy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Segoe UI"/>
      <family val="2"/>
    </font>
    <font>
      <sz val="10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Century Gothic"/>
      <family val="2"/>
    </font>
    <font>
      <sz val="10"/>
      <color indexed="8"/>
      <name val="Century Gothic"/>
      <family val="2"/>
    </font>
    <font>
      <sz val="20"/>
      <color indexed="8"/>
      <name val="Century Gothic"/>
      <family val="2"/>
    </font>
    <font>
      <sz val="14"/>
      <color indexed="8"/>
      <name val="Century Gothic"/>
      <family val="2"/>
    </font>
    <font>
      <sz val="11"/>
      <color indexed="8"/>
      <name val="Segoe UI"/>
      <family val="2"/>
    </font>
    <font>
      <sz val="18"/>
      <color indexed="8"/>
      <name val="Segoe UI Light"/>
      <family val="2"/>
    </font>
    <font>
      <sz val="12"/>
      <color indexed="8"/>
      <name val="Segoe UI Light"/>
      <family val="2"/>
    </font>
    <font>
      <sz val="12"/>
      <color indexed="8"/>
      <name val="Segoe UI"/>
      <family val="2"/>
    </font>
    <font>
      <sz val="11"/>
      <color indexed="8"/>
      <name val="Segoe UI Light"/>
      <family val="2"/>
    </font>
    <font>
      <sz val="20"/>
      <color indexed="8"/>
      <name val="Segoe UI Light"/>
      <family val="2"/>
    </font>
    <font>
      <sz val="12"/>
      <color indexed="10"/>
      <name val="Segoe UI Light"/>
      <family val="2"/>
    </font>
    <font>
      <sz val="9"/>
      <color indexed="8"/>
      <name val="Segoe UI"/>
      <family val="2"/>
    </font>
    <font>
      <sz val="14"/>
      <color indexed="8"/>
      <name val="Segoe UI"/>
      <family val="2"/>
    </font>
    <font>
      <sz val="22"/>
      <color indexed="8"/>
      <name val="Segoe UI Light"/>
      <family val="2"/>
    </font>
    <font>
      <sz val="22"/>
      <color indexed="8"/>
      <name val="Segoe UI"/>
      <family val="2"/>
    </font>
    <font>
      <b/>
      <sz val="11"/>
      <color indexed="8"/>
      <name val="Century Gothic"/>
      <family val="2"/>
    </font>
    <font>
      <sz val="7"/>
      <color indexed="8"/>
      <name val="Century Gothic"/>
      <family val="2"/>
    </font>
    <font>
      <sz val="18"/>
      <color indexed="8"/>
      <name val="Segoe UI"/>
      <family val="2"/>
    </font>
    <font>
      <sz val="36"/>
      <color indexed="8"/>
      <name val="Segoe UI"/>
      <family val="2"/>
    </font>
    <font>
      <sz val="26"/>
      <color indexed="8"/>
      <name val="Segoe UI"/>
      <family val="2"/>
    </font>
    <font>
      <sz val="20"/>
      <color indexed="8"/>
      <name val="Segoe UI"/>
      <family val="2"/>
    </font>
    <font>
      <sz val="16"/>
      <color indexed="8"/>
      <name val="Segoe UI"/>
      <family val="2"/>
    </font>
    <font>
      <sz val="24"/>
      <color indexed="8"/>
      <name val="Segoe UI"/>
      <family val="2"/>
    </font>
    <font>
      <b/>
      <sz val="14"/>
      <color indexed="8"/>
      <name val="Century Gothic"/>
      <family val="2"/>
    </font>
    <font>
      <sz val="12"/>
      <color indexed="8"/>
      <name val="Century Gothic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20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Segoe UI"/>
      <family val="2"/>
    </font>
    <font>
      <sz val="18"/>
      <color theme="1"/>
      <name val="Segoe UI Light"/>
      <family val="2"/>
    </font>
    <font>
      <sz val="12"/>
      <color theme="1"/>
      <name val="Segoe UI Light"/>
      <family val="2"/>
    </font>
    <font>
      <sz val="12"/>
      <color theme="1"/>
      <name val="Segoe UI"/>
      <family val="2"/>
    </font>
    <font>
      <sz val="11"/>
      <color theme="1"/>
      <name val="Segoe UI Light"/>
      <family val="2"/>
    </font>
    <font>
      <sz val="20"/>
      <color theme="1"/>
      <name val="Segoe UI Light"/>
      <family val="2"/>
    </font>
    <font>
      <sz val="12"/>
      <color rgb="FFFF0000"/>
      <name val="Segoe UI Light"/>
      <family val="2"/>
    </font>
    <font>
      <sz val="9"/>
      <color theme="1"/>
      <name val="Segoe UI"/>
      <family val="2"/>
    </font>
    <font>
      <sz val="14"/>
      <color theme="1"/>
      <name val="Segoe UI"/>
      <family val="2"/>
    </font>
    <font>
      <sz val="22"/>
      <color theme="1"/>
      <name val="Segoe UI Light"/>
      <family val="2"/>
    </font>
    <font>
      <sz val="22"/>
      <color theme="1"/>
      <name val="Segoe UI"/>
      <family val="2"/>
    </font>
    <font>
      <b/>
      <sz val="11"/>
      <color theme="1"/>
      <name val="Century Gothic"/>
      <family val="2"/>
    </font>
    <font>
      <sz val="7"/>
      <color theme="1"/>
      <name val="Century Gothic"/>
      <family val="2"/>
    </font>
    <font>
      <sz val="18"/>
      <color theme="1"/>
      <name val="Segoe UI"/>
      <family val="2"/>
    </font>
    <font>
      <sz val="16"/>
      <color theme="1"/>
      <name val="Segoe UI"/>
      <family val="2"/>
    </font>
    <font>
      <sz val="36"/>
      <color theme="1"/>
      <name val="Segoe UI"/>
      <family val="2"/>
    </font>
    <font>
      <sz val="26"/>
      <color theme="1"/>
      <name val="Segoe UI"/>
      <family val="2"/>
    </font>
    <font>
      <sz val="20"/>
      <color theme="1"/>
      <name val="Segoe UI"/>
      <family val="2"/>
    </font>
    <font>
      <sz val="24"/>
      <color theme="1"/>
      <name val="Segoe UI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theme="0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246">
    <xf numFmtId="0" fontId="0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165" fontId="63" fillId="0" borderId="0" xfId="0" applyNumberFormat="1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165" fontId="64" fillId="0" borderId="0" xfId="0" applyNumberFormat="1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64" fillId="0" borderId="10" xfId="0" applyFont="1" applyFill="1" applyBorder="1" applyAlignment="1">
      <alignment horizontal="center" vertical="center"/>
    </xf>
    <xf numFmtId="165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Alignment="1">
      <alignment horizontal="center" vertical="center"/>
    </xf>
    <xf numFmtId="165" fontId="64" fillId="0" borderId="0" xfId="0" applyNumberFormat="1" applyFont="1" applyFill="1" applyAlignment="1">
      <alignment horizontal="center" vertical="center"/>
    </xf>
    <xf numFmtId="0" fontId="64" fillId="0" borderId="0" xfId="0" applyFont="1" applyFill="1" applyAlignment="1" applyProtection="1">
      <alignment horizontal="center" vertical="center"/>
      <protection locked="0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7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/>
    </xf>
    <xf numFmtId="0" fontId="69" fillId="0" borderId="0" xfId="0" applyFont="1" applyAlignment="1">
      <alignment horizontal="center" vertical="center"/>
    </xf>
    <xf numFmtId="0" fontId="70" fillId="0" borderId="0" xfId="0" applyFont="1" applyFill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 horizontal="center" vertical="center"/>
    </xf>
    <xf numFmtId="0" fontId="70" fillId="33" borderId="11" xfId="0" applyFont="1" applyFill="1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67" fillId="0" borderId="11" xfId="0" applyFont="1" applyBorder="1" applyAlignment="1" applyProtection="1">
      <alignment/>
      <protection locked="0"/>
    </xf>
    <xf numFmtId="0" fontId="63" fillId="0" borderId="0" xfId="0" applyFont="1" applyAlignment="1">
      <alignment vertical="center"/>
    </xf>
    <xf numFmtId="0" fontId="67" fillId="0" borderId="0" xfId="0" applyFont="1" applyAlignment="1">
      <alignment horizontal="center"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67" fillId="0" borderId="0" xfId="0" applyFont="1" applyAlignment="1">
      <alignment horizontal="center"/>
    </xf>
    <xf numFmtId="0" fontId="67" fillId="0" borderId="0" xfId="0" applyFont="1" applyAlignment="1">
      <alignment wrapText="1"/>
    </xf>
    <xf numFmtId="165" fontId="67" fillId="0" borderId="0" xfId="0" applyNumberFormat="1" applyFont="1" applyAlignment="1">
      <alignment/>
    </xf>
    <xf numFmtId="14" fontId="67" fillId="0" borderId="0" xfId="0" applyNumberFormat="1" applyFont="1" applyAlignment="1">
      <alignment/>
    </xf>
    <xf numFmtId="166" fontId="67" fillId="0" borderId="0" xfId="0" applyNumberFormat="1" applyFont="1" applyAlignment="1">
      <alignment/>
    </xf>
    <xf numFmtId="0" fontId="67" fillId="0" borderId="0" xfId="0" applyFont="1" applyBorder="1" applyAlignment="1">
      <alignment horizontal="center" wrapText="1"/>
    </xf>
    <xf numFmtId="0" fontId="67" fillId="0" borderId="0" xfId="0" applyFont="1" applyBorder="1" applyAlignment="1">
      <alignment horizontal="center"/>
    </xf>
    <xf numFmtId="0" fontId="67" fillId="0" borderId="12" xfId="0" applyFont="1" applyBorder="1" applyAlignment="1">
      <alignment horizontal="center" wrapText="1"/>
    </xf>
    <xf numFmtId="0" fontId="67" fillId="0" borderId="0" xfId="0" applyFont="1" applyAlignment="1" applyProtection="1">
      <alignment horizontal="center" vertical="center"/>
      <protection/>
    </xf>
    <xf numFmtId="0" fontId="74" fillId="0" borderId="13" xfId="0" applyFont="1" applyBorder="1" applyAlignment="1" applyProtection="1">
      <alignment horizontal="center" vertical="center"/>
      <protection/>
    </xf>
    <xf numFmtId="0" fontId="74" fillId="0" borderId="14" xfId="0" applyFont="1" applyBorder="1" applyAlignment="1" applyProtection="1">
      <alignment horizontal="center" vertical="center"/>
      <protection/>
    </xf>
    <xf numFmtId="0" fontId="75" fillId="0" borderId="15" xfId="0" applyFont="1" applyBorder="1" applyAlignment="1" applyProtection="1">
      <alignment horizontal="center" vertical="center"/>
      <protection/>
    </xf>
    <xf numFmtId="0" fontId="75" fillId="0" borderId="16" xfId="0" applyFont="1" applyBorder="1" applyAlignment="1" applyProtection="1">
      <alignment horizontal="center" vertical="center"/>
      <protection/>
    </xf>
    <xf numFmtId="0" fontId="67" fillId="0" borderId="17" xfId="0" applyFont="1" applyBorder="1" applyAlignment="1" applyProtection="1">
      <alignment horizontal="center" vertical="center"/>
      <protection/>
    </xf>
    <xf numFmtId="0" fontId="67" fillId="0" borderId="10" xfId="0" applyFont="1" applyBorder="1" applyAlignment="1" applyProtection="1">
      <alignment horizontal="center" vertical="center"/>
      <protection/>
    </xf>
    <xf numFmtId="0" fontId="67" fillId="0" borderId="14" xfId="0" applyFont="1" applyBorder="1" applyAlignment="1" applyProtection="1">
      <alignment horizontal="center" vertical="center"/>
      <protection/>
    </xf>
    <xf numFmtId="0" fontId="67" fillId="0" borderId="18" xfId="0" applyFont="1" applyBorder="1" applyAlignment="1" applyProtection="1">
      <alignment horizontal="center" vertical="center"/>
      <protection/>
    </xf>
    <xf numFmtId="0" fontId="67" fillId="0" borderId="0" xfId="0" applyFont="1" applyAlignment="1" applyProtection="1">
      <alignment horizontal="center"/>
      <protection/>
    </xf>
    <xf numFmtId="0" fontId="67" fillId="0" borderId="12" xfId="0" applyFont="1" applyBorder="1" applyAlignment="1" applyProtection="1">
      <alignment horizontal="center" vertical="center"/>
      <protection/>
    </xf>
    <xf numFmtId="0" fontId="67" fillId="0" borderId="0" xfId="0" applyFont="1" applyAlignment="1" applyProtection="1">
      <alignment horizontal="left" vertical="center"/>
      <protection/>
    </xf>
    <xf numFmtId="0" fontId="63" fillId="0" borderId="0" xfId="0" applyFont="1" applyAlignment="1" applyProtection="1">
      <alignment horizontal="center" vertical="center"/>
      <protection locked="0"/>
    </xf>
    <xf numFmtId="0" fontId="67" fillId="0" borderId="0" xfId="0" applyFont="1" applyAlignment="1" applyProtection="1">
      <alignment/>
      <protection locked="0"/>
    </xf>
    <xf numFmtId="0" fontId="76" fillId="33" borderId="0" xfId="0" applyFont="1" applyFill="1" applyAlignment="1">
      <alignment/>
    </xf>
    <xf numFmtId="0" fontId="67" fillId="33" borderId="0" xfId="0" applyFont="1" applyFill="1" applyAlignment="1">
      <alignment horizontal="center"/>
    </xf>
    <xf numFmtId="0" fontId="67" fillId="33" borderId="0" xfId="0" applyFont="1" applyFill="1" applyAlignment="1">
      <alignment/>
    </xf>
    <xf numFmtId="0" fontId="67" fillId="33" borderId="19" xfId="0" applyFont="1" applyFill="1" applyBorder="1" applyAlignment="1">
      <alignment horizontal="center"/>
    </xf>
    <xf numFmtId="0" fontId="67" fillId="33" borderId="20" xfId="0" applyFont="1" applyFill="1" applyBorder="1" applyAlignment="1">
      <alignment horizontal="center"/>
    </xf>
    <xf numFmtId="0" fontId="67" fillId="33" borderId="0" xfId="0" applyFont="1" applyFill="1" applyAlignment="1">
      <alignment horizontal="left"/>
    </xf>
    <xf numFmtId="164" fontId="67" fillId="0" borderId="15" xfId="0" applyNumberFormat="1" applyFont="1" applyBorder="1" applyAlignment="1" applyProtection="1">
      <alignment/>
      <protection locked="0"/>
    </xf>
    <xf numFmtId="164" fontId="67" fillId="0" borderId="16" xfId="0" applyNumberFormat="1" applyFont="1" applyBorder="1" applyAlignment="1" applyProtection="1">
      <alignment/>
      <protection locked="0"/>
    </xf>
    <xf numFmtId="0" fontId="67" fillId="0" borderId="15" xfId="0" applyFont="1" applyBorder="1" applyAlignment="1" applyProtection="1">
      <alignment/>
      <protection locked="0"/>
    </xf>
    <xf numFmtId="0" fontId="77" fillId="33" borderId="0" xfId="0" applyFont="1" applyFill="1" applyAlignment="1" applyProtection="1">
      <alignment horizontal="center" vertical="center"/>
      <protection locked="0"/>
    </xf>
    <xf numFmtId="0" fontId="64" fillId="0" borderId="0" xfId="0" applyFont="1" applyFill="1" applyBorder="1" applyAlignment="1">
      <alignment horizontal="center" vertical="center"/>
    </xf>
    <xf numFmtId="165" fontId="64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 applyProtection="1">
      <alignment horizontal="center"/>
      <protection locked="0"/>
    </xf>
    <xf numFmtId="0" fontId="65" fillId="0" borderId="0" xfId="0" applyFont="1" applyAlignment="1" applyProtection="1">
      <alignment vertical="center"/>
      <protection/>
    </xf>
    <xf numFmtId="0" fontId="63" fillId="0" borderId="0" xfId="0" applyFont="1" applyAlignment="1" applyProtection="1">
      <alignment horizontal="center" vertical="center"/>
      <protection/>
    </xf>
    <xf numFmtId="0" fontId="66" fillId="0" borderId="0" xfId="0" applyFont="1" applyAlignment="1" applyProtection="1">
      <alignment horizontal="center" vertical="center"/>
      <protection/>
    </xf>
    <xf numFmtId="0" fontId="63" fillId="0" borderId="0" xfId="0" applyFont="1" applyAlignment="1" applyProtection="1">
      <alignment horizontal="center"/>
      <protection/>
    </xf>
    <xf numFmtId="0" fontId="63" fillId="0" borderId="0" xfId="0" applyFont="1" applyAlignment="1" applyProtection="1">
      <alignment horizontal="center" wrapText="1"/>
      <protection/>
    </xf>
    <xf numFmtId="0" fontId="67" fillId="33" borderId="15" xfId="0" applyFont="1" applyFill="1" applyBorder="1" applyAlignment="1">
      <alignment horizontal="center"/>
    </xf>
    <xf numFmtId="0" fontId="67" fillId="0" borderId="0" xfId="0" applyFont="1" applyAlignment="1">
      <alignment horizontal="center"/>
    </xf>
    <xf numFmtId="0" fontId="63" fillId="0" borderId="0" xfId="0" applyFont="1" applyAlignment="1">
      <alignment horizontal="center" vertical="center"/>
    </xf>
    <xf numFmtId="0" fontId="70" fillId="33" borderId="0" xfId="0" applyFont="1" applyFill="1" applyAlignment="1">
      <alignment/>
    </xf>
    <xf numFmtId="0" fontId="64" fillId="33" borderId="0" xfId="0" applyFont="1" applyFill="1" applyAlignment="1">
      <alignment horizontal="center" vertical="center"/>
    </xf>
    <xf numFmtId="165" fontId="64" fillId="33" borderId="0" xfId="0" applyNumberFormat="1" applyFont="1" applyFill="1" applyAlignment="1">
      <alignment horizontal="center" vertical="center"/>
    </xf>
    <xf numFmtId="0" fontId="64" fillId="33" borderId="0" xfId="0" applyFont="1" applyFill="1" applyAlignment="1" applyProtection="1">
      <alignment horizontal="center" vertical="center"/>
      <protection locked="0"/>
    </xf>
    <xf numFmtId="0" fontId="64" fillId="33" borderId="0" xfId="0" applyFont="1" applyFill="1" applyBorder="1" applyAlignment="1">
      <alignment horizontal="center" vertical="center"/>
    </xf>
    <xf numFmtId="165" fontId="64" fillId="33" borderId="0" xfId="0" applyNumberFormat="1" applyFont="1" applyFill="1" applyBorder="1" applyAlignment="1">
      <alignment horizontal="center" vertical="center"/>
    </xf>
    <xf numFmtId="0" fontId="64" fillId="33" borderId="0" xfId="0" applyFont="1" applyFill="1" applyBorder="1" applyAlignment="1" applyProtection="1">
      <alignment horizontal="center" vertical="center"/>
      <protection locked="0"/>
    </xf>
    <xf numFmtId="0" fontId="64" fillId="33" borderId="12" xfId="0" applyFont="1" applyFill="1" applyBorder="1" applyAlignment="1">
      <alignment horizontal="center" vertical="center"/>
    </xf>
    <xf numFmtId="165" fontId="64" fillId="33" borderId="12" xfId="0" applyNumberFormat="1" applyFont="1" applyFill="1" applyBorder="1" applyAlignment="1">
      <alignment horizontal="center" vertical="center"/>
    </xf>
    <xf numFmtId="0" fontId="64" fillId="33" borderId="12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Alignment="1" applyProtection="1">
      <alignment horizontal="center" vertical="center"/>
      <protection/>
    </xf>
    <xf numFmtId="0" fontId="5" fillId="5" borderId="10" xfId="0" applyFont="1" applyFill="1" applyBorder="1" applyAlignment="1" applyProtection="1">
      <alignment horizontal="left" vertical="center"/>
      <protection/>
    </xf>
    <xf numFmtId="0" fontId="5" fillId="5" borderId="10" xfId="0" applyFont="1" applyFill="1" applyBorder="1" applyAlignment="1" applyProtection="1">
      <alignment horizontal="center" vertical="center"/>
      <protection/>
    </xf>
    <xf numFmtId="0" fontId="4" fillId="5" borderId="0" xfId="0" applyFont="1" applyFill="1" applyAlignment="1" applyProtection="1">
      <alignment horizontal="center" vertical="center"/>
      <protection/>
    </xf>
    <xf numFmtId="0" fontId="5" fillId="5" borderId="0" xfId="0" applyFont="1" applyFill="1" applyAlignment="1" applyProtection="1">
      <alignment horizontal="left" vertical="center"/>
      <protection/>
    </xf>
    <xf numFmtId="0" fontId="5" fillId="5" borderId="0" xfId="0" applyFont="1" applyFill="1" applyAlignment="1" applyProtection="1">
      <alignment horizontal="center" vertical="center"/>
      <protection/>
    </xf>
    <xf numFmtId="0" fontId="78" fillId="12" borderId="0" xfId="0" applyFont="1" applyFill="1" applyBorder="1" applyAlignment="1" applyProtection="1">
      <alignment horizontal="center" vertical="center"/>
      <protection/>
    </xf>
    <xf numFmtId="0" fontId="63" fillId="12" borderId="0" xfId="0" applyFont="1" applyFill="1" applyBorder="1" applyAlignment="1" applyProtection="1">
      <alignment horizontal="left" vertical="center"/>
      <protection/>
    </xf>
    <xf numFmtId="0" fontId="63" fillId="12" borderId="0" xfId="0" applyFont="1" applyFill="1" applyBorder="1" applyAlignment="1" applyProtection="1">
      <alignment horizontal="center" vertical="center"/>
      <protection/>
    </xf>
    <xf numFmtId="0" fontId="78" fillId="12" borderId="0" xfId="0" applyFont="1" applyFill="1" applyAlignment="1" applyProtection="1">
      <alignment horizontal="center" vertical="center"/>
      <protection/>
    </xf>
    <xf numFmtId="0" fontId="63" fillId="12" borderId="0" xfId="0" applyFont="1" applyFill="1" applyAlignment="1" applyProtection="1">
      <alignment horizontal="left" vertical="center"/>
      <protection/>
    </xf>
    <xf numFmtId="0" fontId="63" fillId="12" borderId="0" xfId="0" applyFont="1" applyFill="1" applyAlignment="1" applyProtection="1">
      <alignment horizontal="center" vertical="center"/>
      <protection/>
    </xf>
    <xf numFmtId="0" fontId="78" fillId="10" borderId="0" xfId="0" applyFont="1" applyFill="1" applyBorder="1" applyAlignment="1" applyProtection="1">
      <alignment horizontal="center" vertical="center"/>
      <protection/>
    </xf>
    <xf numFmtId="0" fontId="63" fillId="10" borderId="0" xfId="0" applyFont="1" applyFill="1" applyBorder="1" applyAlignment="1" applyProtection="1">
      <alignment horizontal="left" vertical="center"/>
      <protection/>
    </xf>
    <xf numFmtId="0" fontId="63" fillId="10" borderId="0" xfId="0" applyFont="1" applyFill="1" applyBorder="1" applyAlignment="1" applyProtection="1">
      <alignment horizontal="center" vertical="center"/>
      <protection/>
    </xf>
    <xf numFmtId="0" fontId="78" fillId="10" borderId="0" xfId="0" applyFont="1" applyFill="1" applyAlignment="1" applyProtection="1">
      <alignment horizontal="center" vertical="center"/>
      <protection/>
    </xf>
    <xf numFmtId="0" fontId="63" fillId="10" borderId="0" xfId="0" applyFont="1" applyFill="1" applyAlignment="1" applyProtection="1">
      <alignment horizontal="left" vertical="center"/>
      <protection/>
    </xf>
    <xf numFmtId="0" fontId="63" fillId="10" borderId="0" xfId="0" applyFont="1" applyFill="1" applyAlignment="1" applyProtection="1">
      <alignment horizontal="center" vertical="center"/>
      <protection/>
    </xf>
    <xf numFmtId="0" fontId="78" fillId="7" borderId="0" xfId="0" applyFont="1" applyFill="1" applyAlignment="1" applyProtection="1">
      <alignment horizontal="center" vertical="center"/>
      <protection/>
    </xf>
    <xf numFmtId="0" fontId="63" fillId="7" borderId="0" xfId="0" applyFont="1" applyFill="1" applyAlignment="1" applyProtection="1">
      <alignment horizontal="left" vertical="center"/>
      <protection/>
    </xf>
    <xf numFmtId="0" fontId="63" fillId="7" borderId="0" xfId="0" applyFont="1" applyFill="1" applyAlignment="1" applyProtection="1">
      <alignment horizontal="center" vertical="center"/>
      <protection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79" fillId="0" borderId="0" xfId="0" applyFont="1" applyFill="1" applyAlignment="1">
      <alignment horizontal="center" vertical="center"/>
    </xf>
    <xf numFmtId="0" fontId="79" fillId="33" borderId="0" xfId="0" applyFont="1" applyFill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79" fillId="33" borderId="12" xfId="0" applyFont="1" applyFill="1" applyBorder="1" applyAlignment="1">
      <alignment horizontal="center" vertical="center"/>
    </xf>
    <xf numFmtId="0" fontId="67" fillId="0" borderId="0" xfId="0" applyFont="1" applyAlignment="1">
      <alignment horizontal="left"/>
    </xf>
    <xf numFmtId="0" fontId="80" fillId="0" borderId="0" xfId="0" applyFont="1" applyAlignment="1">
      <alignment horizontal="center"/>
    </xf>
    <xf numFmtId="0" fontId="69" fillId="0" borderId="0" xfId="0" applyFont="1" applyAlignment="1">
      <alignment horizontal="left" vertical="center"/>
    </xf>
    <xf numFmtId="0" fontId="79" fillId="0" borderId="10" xfId="0" applyFont="1" applyFill="1" applyBorder="1" applyAlignment="1">
      <alignment horizontal="right" vertical="center"/>
    </xf>
    <xf numFmtId="0" fontId="79" fillId="0" borderId="0" xfId="0" applyFont="1" applyFill="1" applyAlignment="1">
      <alignment horizontal="right" vertical="center"/>
    </xf>
    <xf numFmtId="0" fontId="79" fillId="33" borderId="0" xfId="0" applyFont="1" applyFill="1" applyAlignment="1">
      <alignment horizontal="right" vertical="center"/>
    </xf>
    <xf numFmtId="0" fontId="79" fillId="0" borderId="10" xfId="0" applyFont="1" applyFill="1" applyBorder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79" fillId="33" borderId="0" xfId="0" applyFont="1" applyFill="1" applyAlignment="1">
      <alignment horizontal="left" vertical="center"/>
    </xf>
    <xf numFmtId="0" fontId="79" fillId="33" borderId="0" xfId="0" applyFont="1" applyFill="1" applyBorder="1" applyAlignment="1">
      <alignment horizontal="right" vertical="center"/>
    </xf>
    <xf numFmtId="0" fontId="79" fillId="0" borderId="0" xfId="0" applyFont="1" applyFill="1" applyBorder="1" applyAlignment="1">
      <alignment horizontal="right" vertical="center"/>
    </xf>
    <xf numFmtId="0" fontId="79" fillId="33" borderId="12" xfId="0" applyFont="1" applyFill="1" applyBorder="1" applyAlignment="1">
      <alignment horizontal="right" vertical="center"/>
    </xf>
    <xf numFmtId="0" fontId="79" fillId="33" borderId="0" xfId="0" applyFont="1" applyFill="1" applyBorder="1" applyAlignment="1">
      <alignment horizontal="left" vertical="center"/>
    </xf>
    <xf numFmtId="0" fontId="79" fillId="0" borderId="0" xfId="0" applyFont="1" applyFill="1" applyBorder="1" applyAlignment="1">
      <alignment horizontal="left" vertical="center"/>
    </xf>
    <xf numFmtId="0" fontId="79" fillId="33" borderId="12" xfId="0" applyFont="1" applyFill="1" applyBorder="1" applyAlignment="1">
      <alignment horizontal="left" vertical="center"/>
    </xf>
    <xf numFmtId="0" fontId="77" fillId="33" borderId="21" xfId="0" applyFont="1" applyFill="1" applyBorder="1" applyAlignment="1">
      <alignment horizontal="center"/>
    </xf>
    <xf numFmtId="0" fontId="77" fillId="33" borderId="22" xfId="0" applyFont="1" applyFill="1" applyBorder="1" applyAlignment="1">
      <alignment horizontal="center"/>
    </xf>
    <xf numFmtId="0" fontId="77" fillId="33" borderId="23" xfId="0" applyFont="1" applyFill="1" applyBorder="1" applyAlignment="1">
      <alignment horizontal="center"/>
    </xf>
    <xf numFmtId="0" fontId="70" fillId="0" borderId="21" xfId="0" applyFont="1" applyBorder="1" applyAlignment="1">
      <alignment horizontal="center"/>
    </xf>
    <xf numFmtId="0" fontId="70" fillId="0" borderId="22" xfId="0" applyFont="1" applyBorder="1" applyAlignment="1">
      <alignment horizontal="center"/>
    </xf>
    <xf numFmtId="0" fontId="70" fillId="0" borderId="23" xfId="0" applyFont="1" applyBorder="1" applyAlignment="1">
      <alignment horizontal="center"/>
    </xf>
    <xf numFmtId="0" fontId="70" fillId="33" borderId="24" xfId="0" applyFont="1" applyFill="1" applyBorder="1" applyAlignment="1">
      <alignment horizontal="center"/>
    </xf>
    <xf numFmtId="0" fontId="70" fillId="33" borderId="25" xfId="0" applyFont="1" applyFill="1" applyBorder="1" applyAlignment="1">
      <alignment horizontal="center"/>
    </xf>
    <xf numFmtId="0" fontId="70" fillId="33" borderId="26" xfId="0" applyFont="1" applyFill="1" applyBorder="1" applyAlignment="1">
      <alignment horizontal="center"/>
    </xf>
    <xf numFmtId="0" fontId="70" fillId="0" borderId="27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70" fillId="0" borderId="28" xfId="0" applyFont="1" applyBorder="1" applyAlignment="1">
      <alignment horizontal="center"/>
    </xf>
    <xf numFmtId="0" fontId="70" fillId="33" borderId="27" xfId="0" applyFont="1" applyFill="1" applyBorder="1" applyAlignment="1">
      <alignment horizontal="center"/>
    </xf>
    <xf numFmtId="0" fontId="70" fillId="33" borderId="0" xfId="0" applyFont="1" applyFill="1" applyBorder="1" applyAlignment="1">
      <alignment horizontal="center"/>
    </xf>
    <xf numFmtId="0" fontId="70" fillId="33" borderId="28" xfId="0" applyFont="1" applyFill="1" applyBorder="1" applyAlignment="1">
      <alignment horizontal="center"/>
    </xf>
    <xf numFmtId="0" fontId="70" fillId="0" borderId="27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0" fillId="0" borderId="28" xfId="0" applyFont="1" applyFill="1" applyBorder="1" applyAlignment="1">
      <alignment horizontal="center"/>
    </xf>
    <xf numFmtId="0" fontId="67" fillId="33" borderId="24" xfId="0" applyFont="1" applyFill="1" applyBorder="1" applyAlignment="1">
      <alignment horizontal="left"/>
    </xf>
    <xf numFmtId="0" fontId="67" fillId="33" borderId="25" xfId="0" applyFont="1" applyFill="1" applyBorder="1" applyAlignment="1">
      <alignment horizontal="left"/>
    </xf>
    <xf numFmtId="0" fontId="81" fillId="33" borderId="21" xfId="0" applyFont="1" applyFill="1" applyBorder="1" applyAlignment="1">
      <alignment horizontal="left"/>
    </xf>
    <xf numFmtId="0" fontId="81" fillId="33" borderId="22" xfId="0" applyFont="1" applyFill="1" applyBorder="1" applyAlignment="1">
      <alignment horizontal="left"/>
    </xf>
    <xf numFmtId="0" fontId="81" fillId="33" borderId="24" xfId="0" applyFont="1" applyFill="1" applyBorder="1" applyAlignment="1">
      <alignment horizontal="center"/>
    </xf>
    <xf numFmtId="0" fontId="81" fillId="33" borderId="25" xfId="0" applyFont="1" applyFill="1" applyBorder="1" applyAlignment="1">
      <alignment horizontal="center"/>
    </xf>
    <xf numFmtId="0" fontId="81" fillId="33" borderId="26" xfId="0" applyFont="1" applyFill="1" applyBorder="1" applyAlignment="1">
      <alignment horizontal="center"/>
    </xf>
    <xf numFmtId="0" fontId="69" fillId="33" borderId="22" xfId="0" applyFont="1" applyFill="1" applyBorder="1" applyAlignment="1">
      <alignment horizontal="left" vertical="center"/>
    </xf>
    <xf numFmtId="0" fontId="69" fillId="33" borderId="25" xfId="0" applyFont="1" applyFill="1" applyBorder="1" applyAlignment="1">
      <alignment horizontal="left" vertical="center"/>
    </xf>
    <xf numFmtId="0" fontId="69" fillId="33" borderId="22" xfId="0" applyFont="1" applyFill="1" applyBorder="1" applyAlignment="1">
      <alignment horizontal="center" vertical="center"/>
    </xf>
    <xf numFmtId="0" fontId="69" fillId="33" borderId="25" xfId="0" applyFont="1" applyFill="1" applyBorder="1" applyAlignment="1">
      <alignment horizontal="center" vertical="center"/>
    </xf>
    <xf numFmtId="0" fontId="69" fillId="33" borderId="23" xfId="0" applyFont="1" applyFill="1" applyBorder="1" applyAlignment="1">
      <alignment horizontal="left" vertical="center"/>
    </xf>
    <xf numFmtId="0" fontId="69" fillId="33" borderId="26" xfId="0" applyFont="1" applyFill="1" applyBorder="1" applyAlignment="1">
      <alignment horizontal="left" vertical="center"/>
    </xf>
    <xf numFmtId="0" fontId="82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81" fillId="0" borderId="0" xfId="0" applyFont="1" applyAlignment="1" applyProtection="1">
      <alignment horizontal="left" vertical="center"/>
      <protection/>
    </xf>
    <xf numFmtId="0" fontId="67" fillId="0" borderId="17" xfId="0" applyFont="1" applyBorder="1" applyAlignment="1" applyProtection="1">
      <alignment horizontal="center" vertical="center"/>
      <protection locked="0"/>
    </xf>
    <xf numFmtId="165" fontId="67" fillId="0" borderId="17" xfId="0" applyNumberFormat="1" applyFont="1" applyBorder="1" applyAlignment="1" applyProtection="1">
      <alignment horizontal="center" vertical="center"/>
      <protection/>
    </xf>
    <xf numFmtId="0" fontId="67" fillId="0" borderId="17" xfId="0" applyFont="1" applyBorder="1" applyAlignment="1" applyProtection="1">
      <alignment horizontal="center" vertical="center"/>
      <protection/>
    </xf>
    <xf numFmtId="0" fontId="80" fillId="0" borderId="0" xfId="0" applyFont="1" applyAlignment="1" applyProtection="1">
      <alignment horizontal="center" vertical="center"/>
      <protection/>
    </xf>
    <xf numFmtId="0" fontId="67" fillId="0" borderId="17" xfId="0" applyFont="1" applyBorder="1" applyAlignment="1" applyProtection="1">
      <alignment horizontal="left" vertical="center"/>
      <protection/>
    </xf>
    <xf numFmtId="0" fontId="80" fillId="0" borderId="0" xfId="0" applyFont="1" applyAlignment="1" applyProtection="1">
      <alignment horizontal="center"/>
      <protection/>
    </xf>
    <xf numFmtId="0" fontId="67" fillId="0" borderId="29" xfId="0" applyFont="1" applyBorder="1" applyAlignment="1" applyProtection="1">
      <alignment horizontal="center" vertical="center"/>
      <protection/>
    </xf>
    <xf numFmtId="0" fontId="67" fillId="0" borderId="30" xfId="0" applyFont="1" applyBorder="1" applyAlignment="1" applyProtection="1">
      <alignment horizontal="center" vertical="center"/>
      <protection/>
    </xf>
    <xf numFmtId="0" fontId="74" fillId="0" borderId="13" xfId="0" applyFont="1" applyBorder="1" applyAlignment="1" applyProtection="1">
      <alignment horizontal="center" vertical="center"/>
      <protection/>
    </xf>
    <xf numFmtId="0" fontId="74" fillId="0" borderId="10" xfId="0" applyFont="1" applyBorder="1" applyAlignment="1" applyProtection="1">
      <alignment horizontal="center" vertical="center"/>
      <protection/>
    </xf>
    <xf numFmtId="0" fontId="74" fillId="0" borderId="14" xfId="0" applyFont="1" applyBorder="1" applyAlignment="1" applyProtection="1">
      <alignment horizontal="center" vertical="center"/>
      <protection/>
    </xf>
    <xf numFmtId="0" fontId="75" fillId="0" borderId="0" xfId="0" applyFont="1" applyAlignment="1" applyProtection="1">
      <alignment horizontal="center" vertical="center"/>
      <protection/>
    </xf>
    <xf numFmtId="0" fontId="85" fillId="0" borderId="0" xfId="0" applyFont="1" applyAlignment="1" applyProtection="1">
      <alignment horizontal="center" vertical="center"/>
      <protection/>
    </xf>
    <xf numFmtId="0" fontId="85" fillId="0" borderId="12" xfId="0" applyFont="1" applyBorder="1" applyAlignment="1" applyProtection="1">
      <alignment horizontal="center" vertical="center"/>
      <protection/>
    </xf>
    <xf numFmtId="0" fontId="67" fillId="0" borderId="10" xfId="0" applyFont="1" applyBorder="1" applyAlignment="1" applyProtection="1">
      <alignment horizontal="left" vertical="center"/>
      <protection/>
    </xf>
    <xf numFmtId="0" fontId="67" fillId="0" borderId="18" xfId="0" applyFont="1" applyBorder="1" applyAlignment="1" applyProtection="1">
      <alignment horizontal="center" vertical="center"/>
      <protection/>
    </xf>
    <xf numFmtId="0" fontId="67" fillId="0" borderId="13" xfId="0" applyFont="1" applyBorder="1" applyAlignment="1" applyProtection="1">
      <alignment horizontal="left" vertical="center"/>
      <protection/>
    </xf>
    <xf numFmtId="0" fontId="67" fillId="0" borderId="13" xfId="0" applyFont="1" applyBorder="1" applyAlignment="1" applyProtection="1">
      <alignment horizontal="left" vertical="center" wrapText="1"/>
      <protection/>
    </xf>
    <xf numFmtId="0" fontId="67" fillId="0" borderId="10" xfId="0" applyFont="1" applyBorder="1" applyAlignment="1" applyProtection="1">
      <alignment horizontal="left" vertical="center" wrapText="1"/>
      <protection/>
    </xf>
    <xf numFmtId="0" fontId="67" fillId="0" borderId="14" xfId="0" applyFont="1" applyBorder="1" applyAlignment="1" applyProtection="1">
      <alignment horizontal="left" vertical="center" wrapText="1"/>
      <protection/>
    </xf>
    <xf numFmtId="0" fontId="67" fillId="0" borderId="19" xfId="0" applyFont="1" applyBorder="1" applyAlignment="1" applyProtection="1">
      <alignment horizontal="left" vertical="center" wrapText="1"/>
      <protection/>
    </xf>
    <xf numFmtId="0" fontId="67" fillId="0" borderId="12" xfId="0" applyFont="1" applyBorder="1" applyAlignment="1" applyProtection="1">
      <alignment horizontal="left" vertical="center" wrapText="1"/>
      <protection/>
    </xf>
    <xf numFmtId="0" fontId="67" fillId="0" borderId="20" xfId="0" applyFont="1" applyBorder="1" applyAlignment="1" applyProtection="1">
      <alignment horizontal="left" vertical="center" wrapText="1"/>
      <protection/>
    </xf>
    <xf numFmtId="0" fontId="70" fillId="0" borderId="10" xfId="0" applyFont="1" applyBorder="1" applyAlignment="1" applyProtection="1">
      <alignment horizontal="center" vertical="center" wrapText="1"/>
      <protection/>
    </xf>
    <xf numFmtId="0" fontId="70" fillId="0" borderId="0" xfId="0" applyFont="1" applyBorder="1" applyAlignment="1" applyProtection="1">
      <alignment horizontal="center" vertical="center" wrapText="1"/>
      <protection/>
    </xf>
    <xf numFmtId="0" fontId="81" fillId="0" borderId="17" xfId="0" applyFont="1" applyBorder="1" applyAlignment="1" applyProtection="1">
      <alignment horizontal="center" vertical="center" wrapText="1"/>
      <protection/>
    </xf>
    <xf numFmtId="0" fontId="81" fillId="0" borderId="17" xfId="0" applyFont="1" applyBorder="1" applyAlignment="1" applyProtection="1">
      <alignment horizontal="center" vertical="center"/>
      <protection/>
    </xf>
    <xf numFmtId="0" fontId="67" fillId="0" borderId="0" xfId="0" applyFont="1" applyAlignment="1" applyProtection="1">
      <alignment horizontal="center" vertical="center"/>
      <protection/>
    </xf>
    <xf numFmtId="0" fontId="81" fillId="0" borderId="0" xfId="0" applyFont="1" applyAlignment="1" applyProtection="1">
      <alignment horizontal="center" vertical="center"/>
      <protection/>
    </xf>
    <xf numFmtId="164" fontId="67" fillId="0" borderId="17" xfId="0" applyNumberFormat="1" applyFont="1" applyBorder="1" applyAlignment="1" applyProtection="1">
      <alignment horizontal="center" vertical="center"/>
      <protection/>
    </xf>
    <xf numFmtId="0" fontId="67" fillId="0" borderId="29" xfId="0" applyFont="1" applyBorder="1" applyAlignment="1" applyProtection="1">
      <alignment vertical="center"/>
      <protection/>
    </xf>
    <xf numFmtId="0" fontId="67" fillId="0" borderId="30" xfId="0" applyFont="1" applyBorder="1" applyAlignment="1" applyProtection="1">
      <alignment vertical="center"/>
      <protection/>
    </xf>
    <xf numFmtId="0" fontId="80" fillId="0" borderId="10" xfId="0" applyFont="1" applyBorder="1" applyAlignment="1" applyProtection="1">
      <alignment horizontal="center" vertical="center"/>
      <protection/>
    </xf>
    <xf numFmtId="0" fontId="80" fillId="0" borderId="12" xfId="0" applyFont="1" applyBorder="1" applyAlignment="1" applyProtection="1">
      <alignment horizontal="center" vertical="center"/>
      <protection/>
    </xf>
    <xf numFmtId="0" fontId="67" fillId="0" borderId="13" xfId="0" applyFont="1" applyBorder="1" applyAlignment="1" applyProtection="1">
      <alignment horizontal="center" vertical="center"/>
      <protection/>
    </xf>
    <xf numFmtId="0" fontId="67" fillId="0" borderId="14" xfId="0" applyFont="1" applyBorder="1" applyAlignment="1" applyProtection="1">
      <alignment horizontal="center" vertical="center"/>
      <protection/>
    </xf>
    <xf numFmtId="0" fontId="67" fillId="0" borderId="19" xfId="0" applyFont="1" applyBorder="1" applyAlignment="1" applyProtection="1">
      <alignment horizontal="center" vertical="center"/>
      <protection/>
    </xf>
    <xf numFmtId="0" fontId="67" fillId="0" borderId="20" xfId="0" applyFont="1" applyBorder="1" applyAlignment="1" applyProtection="1">
      <alignment horizontal="center" vertical="center"/>
      <protection/>
    </xf>
    <xf numFmtId="0" fontId="67" fillId="0" borderId="10" xfId="0" applyFont="1" applyBorder="1" applyAlignment="1" applyProtection="1">
      <alignment horizontal="center" vertical="center"/>
      <protection/>
    </xf>
    <xf numFmtId="0" fontId="75" fillId="0" borderId="19" xfId="0" applyFont="1" applyBorder="1" applyAlignment="1" applyProtection="1">
      <alignment horizontal="center" vertical="center"/>
      <protection/>
    </xf>
    <xf numFmtId="0" fontId="75" fillId="0" borderId="12" xfId="0" applyFont="1" applyBorder="1" applyAlignment="1" applyProtection="1">
      <alignment horizontal="center" vertical="center"/>
      <protection/>
    </xf>
    <xf numFmtId="0" fontId="75" fillId="0" borderId="20" xfId="0" applyFont="1" applyBorder="1" applyAlignment="1" applyProtection="1">
      <alignment horizontal="center" vertical="center"/>
      <protection/>
    </xf>
    <xf numFmtId="0" fontId="80" fillId="0" borderId="15" xfId="0" applyFont="1" applyBorder="1" applyAlignment="1" applyProtection="1">
      <alignment horizontal="left" vertical="top" indent="1"/>
      <protection/>
    </xf>
    <xf numFmtId="0" fontId="80" fillId="0" borderId="0" xfId="0" applyFont="1" applyBorder="1" applyAlignment="1" applyProtection="1">
      <alignment horizontal="left" vertical="top" indent="1"/>
      <protection/>
    </xf>
    <xf numFmtId="0" fontId="80" fillId="0" borderId="16" xfId="0" applyFont="1" applyBorder="1" applyAlignment="1" applyProtection="1">
      <alignment horizontal="left" vertical="top" indent="1"/>
      <protection/>
    </xf>
    <xf numFmtId="0" fontId="80" fillId="0" borderId="19" xfId="0" applyFont="1" applyBorder="1" applyAlignment="1" applyProtection="1">
      <alignment horizontal="left" vertical="top" indent="1"/>
      <protection/>
    </xf>
    <xf numFmtId="0" fontId="80" fillId="0" borderId="12" xfId="0" applyFont="1" applyBorder="1" applyAlignment="1" applyProtection="1">
      <alignment horizontal="left" vertical="top" indent="1"/>
      <protection/>
    </xf>
    <xf numFmtId="0" fontId="80" fillId="0" borderId="20" xfId="0" applyFont="1" applyBorder="1" applyAlignment="1" applyProtection="1">
      <alignment horizontal="left" vertical="top" indent="1"/>
      <protection/>
    </xf>
    <xf numFmtId="0" fontId="75" fillId="0" borderId="13" xfId="0" applyFont="1" applyBorder="1" applyAlignment="1" applyProtection="1">
      <alignment horizontal="left" vertical="top" wrapText="1"/>
      <protection locked="0"/>
    </xf>
    <xf numFmtId="0" fontId="75" fillId="0" borderId="10" xfId="0" applyFont="1" applyBorder="1" applyAlignment="1" applyProtection="1">
      <alignment horizontal="left" vertical="top" wrapText="1"/>
      <protection locked="0"/>
    </xf>
    <xf numFmtId="0" fontId="75" fillId="0" borderId="14" xfId="0" applyFont="1" applyBorder="1" applyAlignment="1" applyProtection="1">
      <alignment horizontal="left" vertical="top" wrapText="1"/>
      <protection locked="0"/>
    </xf>
    <xf numFmtId="0" fontId="75" fillId="0" borderId="15" xfId="0" applyFont="1" applyBorder="1" applyAlignment="1" applyProtection="1">
      <alignment horizontal="left" vertical="top" wrapText="1"/>
      <protection locked="0"/>
    </xf>
    <xf numFmtId="0" fontId="75" fillId="0" borderId="0" xfId="0" applyFont="1" applyBorder="1" applyAlignment="1" applyProtection="1">
      <alignment horizontal="left" vertical="top" wrapText="1"/>
      <protection locked="0"/>
    </xf>
    <xf numFmtId="0" fontId="75" fillId="0" borderId="16" xfId="0" applyFont="1" applyBorder="1" applyAlignment="1" applyProtection="1">
      <alignment horizontal="left" vertical="top" wrapText="1"/>
      <protection locked="0"/>
    </xf>
    <xf numFmtId="0" fontId="75" fillId="0" borderId="19" xfId="0" applyFont="1" applyBorder="1" applyAlignment="1" applyProtection="1">
      <alignment horizontal="left" vertical="top" wrapText="1"/>
      <protection locked="0"/>
    </xf>
    <xf numFmtId="0" fontId="75" fillId="0" borderId="12" xfId="0" applyFont="1" applyBorder="1" applyAlignment="1" applyProtection="1">
      <alignment horizontal="left" vertical="top" wrapText="1"/>
      <protection locked="0"/>
    </xf>
    <xf numFmtId="0" fontId="75" fillId="0" borderId="20" xfId="0" applyFont="1" applyBorder="1" applyAlignment="1" applyProtection="1">
      <alignment horizontal="left" vertical="top" wrapText="1"/>
      <protection locked="0"/>
    </xf>
    <xf numFmtId="0" fontId="68" fillId="0" borderId="31" xfId="0" applyFont="1" applyBorder="1" applyAlignment="1">
      <alignment horizontal="center" vertical="center"/>
    </xf>
    <xf numFmtId="0" fontId="66" fillId="0" borderId="0" xfId="0" applyFont="1" applyAlignment="1" applyProtection="1">
      <alignment horizontal="center" vertical="center"/>
      <protection/>
    </xf>
    <xf numFmtId="0" fontId="86" fillId="0" borderId="0" xfId="0" applyFont="1" applyAlignment="1" applyProtection="1">
      <alignment horizontal="center" vertical="center"/>
      <protection/>
    </xf>
    <xf numFmtId="0" fontId="86" fillId="0" borderId="12" xfId="0" applyFont="1" applyBorder="1" applyAlignment="1" applyProtection="1">
      <alignment horizontal="center" vertical="center"/>
      <protection/>
    </xf>
    <xf numFmtId="0" fontId="65" fillId="0" borderId="0" xfId="0" applyFont="1" applyAlignment="1" applyProtection="1">
      <alignment horizontal="center" vertical="center"/>
      <protection/>
    </xf>
    <xf numFmtId="0" fontId="66" fillId="0" borderId="0" xfId="0" applyFont="1" applyAlignment="1" applyProtection="1">
      <alignment horizontal="center"/>
      <protection/>
    </xf>
    <xf numFmtId="0" fontId="63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 wrapText="1"/>
    </xf>
    <xf numFmtId="0" fontId="67" fillId="0" borderId="12" xfId="0" applyFont="1" applyBorder="1" applyAlignment="1">
      <alignment horizontal="center" wrapText="1"/>
    </xf>
    <xf numFmtId="0" fontId="68" fillId="33" borderId="0" xfId="0" applyFont="1" applyFill="1" applyAlignment="1">
      <alignment horizontal="center"/>
    </xf>
    <xf numFmtId="0" fontId="70" fillId="33" borderId="0" xfId="0" applyFont="1" applyFill="1" applyAlignment="1">
      <alignment horizontal="center"/>
    </xf>
    <xf numFmtId="0" fontId="67" fillId="33" borderId="0" xfId="0" applyFont="1" applyFill="1" applyBorder="1" applyAlignment="1">
      <alignment horizontal="center" vertical="center"/>
    </xf>
    <xf numFmtId="0" fontId="67" fillId="33" borderId="12" xfId="0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 horizontal="center"/>
    </xf>
    <xf numFmtId="0" fontId="67" fillId="33" borderId="16" xfId="0" applyFont="1" applyFill="1" applyBorder="1" applyAlignment="1">
      <alignment horizontal="center"/>
    </xf>
    <xf numFmtId="0" fontId="67" fillId="0" borderId="0" xfId="0" applyFont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3</xdr:row>
      <xdr:rowOff>352425</xdr:rowOff>
    </xdr:from>
    <xdr:to>
      <xdr:col>2</xdr:col>
      <xdr:colOff>714375</xdr:colOff>
      <xdr:row>11</xdr:row>
      <xdr:rowOff>47625</xdr:rowOff>
    </xdr:to>
    <xdr:pic>
      <xdr:nvPicPr>
        <xdr:cNvPr id="1" name="Grafik 3" descr="BL_Logo.jpg"/>
        <xdr:cNvPicPr preferRelativeResize="1">
          <a:picLocks noChangeAspect="1"/>
        </xdr:cNvPicPr>
      </xdr:nvPicPr>
      <xdr:blipFill>
        <a:blip r:embed="rId1"/>
        <a:srcRect l="12033" r="12033"/>
        <a:stretch>
          <a:fillRect/>
        </a:stretch>
      </xdr:blipFill>
      <xdr:spPr>
        <a:xfrm>
          <a:off x="323850" y="1714500"/>
          <a:ext cx="174307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4</xdr:row>
      <xdr:rowOff>142875</xdr:rowOff>
    </xdr:from>
    <xdr:to>
      <xdr:col>8</xdr:col>
      <xdr:colOff>438150</xdr:colOff>
      <xdr:row>10</xdr:row>
      <xdr:rowOff>47625</xdr:rowOff>
    </xdr:to>
    <xdr:pic>
      <xdr:nvPicPr>
        <xdr:cNvPr id="2" name="Grafik 4" descr="dkv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1895475"/>
          <a:ext cx="2162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</xdr:row>
      <xdr:rowOff>57150</xdr:rowOff>
    </xdr:from>
    <xdr:to>
      <xdr:col>4</xdr:col>
      <xdr:colOff>771525</xdr:colOff>
      <xdr:row>9</xdr:row>
      <xdr:rowOff>266700</xdr:rowOff>
    </xdr:to>
    <xdr:pic>
      <xdr:nvPicPr>
        <xdr:cNvPr id="3" name="Grafik 5" descr="qrcode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9825" y="2143125"/>
          <a:ext cx="15430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266700</xdr:colOff>
      <xdr:row>1</xdr:row>
      <xdr:rowOff>47625</xdr:rowOff>
    </xdr:from>
    <xdr:to>
      <xdr:col>8</xdr:col>
      <xdr:colOff>1114425</xdr:colOff>
      <xdr:row>6</xdr:row>
      <xdr:rowOff>28575</xdr:rowOff>
    </xdr:to>
    <xdr:pic>
      <xdr:nvPicPr>
        <xdr:cNvPr id="1" name="Grafik 1" descr="bl_logo_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257175"/>
          <a:ext cx="847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</xdr:row>
      <xdr:rowOff>38100</xdr:rowOff>
    </xdr:from>
    <xdr:to>
      <xdr:col>8</xdr:col>
      <xdr:colOff>9525</xdr:colOff>
      <xdr:row>6</xdr:row>
      <xdr:rowOff>76200</xdr:rowOff>
    </xdr:to>
    <xdr:pic>
      <xdr:nvPicPr>
        <xdr:cNvPr id="2" name="Grafik 2" descr="dkv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247650"/>
          <a:ext cx="12668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1</xdr:row>
      <xdr:rowOff>38100</xdr:rowOff>
    </xdr:from>
    <xdr:to>
      <xdr:col>2</xdr:col>
      <xdr:colOff>523875</xdr:colOff>
      <xdr:row>5</xdr:row>
      <xdr:rowOff>9525</xdr:rowOff>
    </xdr:to>
    <xdr:pic>
      <xdr:nvPicPr>
        <xdr:cNvPr id="1" name="Grafik 1" descr="bl_logo_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47650"/>
          <a:ext cx="676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361950</xdr:colOff>
      <xdr:row>1</xdr:row>
      <xdr:rowOff>28575</xdr:rowOff>
    </xdr:from>
    <xdr:to>
      <xdr:col>12</xdr:col>
      <xdr:colOff>438150</xdr:colOff>
      <xdr:row>4</xdr:row>
      <xdr:rowOff>171450</xdr:rowOff>
    </xdr:to>
    <xdr:pic>
      <xdr:nvPicPr>
        <xdr:cNvPr id="2" name="Grafik 2" descr="dkv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238125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85725</xdr:rowOff>
    </xdr:from>
    <xdr:to>
      <xdr:col>3</xdr:col>
      <xdr:colOff>266700</xdr:colOff>
      <xdr:row>3</xdr:row>
      <xdr:rowOff>0</xdr:rowOff>
    </xdr:to>
    <xdr:pic>
      <xdr:nvPicPr>
        <xdr:cNvPr id="1" name="Grafik 1" descr="bl_logo_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5725"/>
          <a:ext cx="676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0</xdr:row>
      <xdr:rowOff>66675</xdr:rowOff>
    </xdr:from>
    <xdr:to>
      <xdr:col>12</xdr:col>
      <xdr:colOff>438150</xdr:colOff>
      <xdr:row>2</xdr:row>
      <xdr:rowOff>152400</xdr:rowOff>
    </xdr:to>
    <xdr:pic>
      <xdr:nvPicPr>
        <xdr:cNvPr id="2" name="Grafik 2" descr="dkv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66675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85725</xdr:rowOff>
    </xdr:from>
    <xdr:to>
      <xdr:col>3</xdr:col>
      <xdr:colOff>266700</xdr:colOff>
      <xdr:row>3</xdr:row>
      <xdr:rowOff>0</xdr:rowOff>
    </xdr:to>
    <xdr:pic>
      <xdr:nvPicPr>
        <xdr:cNvPr id="1" name="Grafik 1" descr="bl_logo_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5725"/>
          <a:ext cx="676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0</xdr:row>
      <xdr:rowOff>66675</xdr:rowOff>
    </xdr:from>
    <xdr:to>
      <xdr:col>12</xdr:col>
      <xdr:colOff>447675</xdr:colOff>
      <xdr:row>2</xdr:row>
      <xdr:rowOff>152400</xdr:rowOff>
    </xdr:to>
    <xdr:pic>
      <xdr:nvPicPr>
        <xdr:cNvPr id="2" name="Grafik 2" descr="dkv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66675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J44"/>
  <sheetViews>
    <sheetView showGridLines="0" showRowColHeaders="0" zoomScale="70" zoomScaleNormal="70" zoomScalePageLayoutView="0" workbookViewId="0" topLeftCell="A1">
      <selection activeCell="C26" sqref="C26:G33"/>
    </sheetView>
  </sheetViews>
  <sheetFormatPr defaultColWidth="11.421875" defaultRowHeight="15"/>
  <cols>
    <col min="1" max="1" width="6.7109375" style="18" customWidth="1"/>
    <col min="2" max="2" width="13.57421875" style="18" customWidth="1"/>
    <col min="3" max="3" width="14.140625" style="18" customWidth="1"/>
    <col min="4" max="5" width="13.28125" style="117" customWidth="1"/>
    <col min="6" max="6" width="1.8515625" style="18" bestFit="1" customWidth="1"/>
    <col min="7" max="8" width="13.28125" style="117" customWidth="1"/>
    <col min="9" max="9" width="6.7109375" style="18" customWidth="1"/>
    <col min="10" max="16384" width="11.421875" style="18" customWidth="1"/>
  </cols>
  <sheetData>
    <row r="2" spans="1:9" ht="52.5">
      <c r="A2" s="163" t="s">
        <v>123</v>
      </c>
      <c r="B2" s="163"/>
      <c r="C2" s="163"/>
      <c r="D2" s="163"/>
      <c r="E2" s="163"/>
      <c r="F2" s="163"/>
      <c r="G2" s="163"/>
      <c r="H2" s="163"/>
      <c r="I2" s="163"/>
    </row>
    <row r="3" spans="2:8" ht="38.25">
      <c r="B3" s="164" t="s">
        <v>137</v>
      </c>
      <c r="C3" s="164"/>
      <c r="D3" s="164"/>
      <c r="E3" s="164"/>
      <c r="F3" s="164"/>
      <c r="G3" s="164"/>
      <c r="H3" s="164"/>
    </row>
    <row r="4" spans="2:10" ht="30.75">
      <c r="B4" s="165" t="str">
        <f>"Saison "&amp;Saisondaten!B3</f>
        <v>Saison 2019</v>
      </c>
      <c r="C4" s="165"/>
      <c r="D4" s="165"/>
      <c r="E4" s="165"/>
      <c r="F4" s="165"/>
      <c r="G4" s="165"/>
      <c r="H4" s="165"/>
      <c r="J4" s="117"/>
    </row>
    <row r="5" spans="2:10" ht="26.25">
      <c r="B5" s="118"/>
      <c r="C5" s="118"/>
      <c r="D5" s="118"/>
      <c r="E5" s="118"/>
      <c r="F5" s="118"/>
      <c r="G5" s="118"/>
      <c r="H5" s="118"/>
      <c r="J5" s="117"/>
    </row>
    <row r="6" spans="2:10" ht="26.25">
      <c r="B6" s="118"/>
      <c r="C6" s="118"/>
      <c r="D6" s="118"/>
      <c r="E6" s="118"/>
      <c r="F6" s="118"/>
      <c r="G6" s="118"/>
      <c r="H6" s="118"/>
      <c r="J6" s="117"/>
    </row>
    <row r="7" spans="2:10" ht="26.25">
      <c r="B7" s="118"/>
      <c r="C7" s="118"/>
      <c r="D7" s="118"/>
      <c r="E7" s="118"/>
      <c r="F7" s="118"/>
      <c r="G7" s="118"/>
      <c r="H7" s="118"/>
      <c r="J7" s="117"/>
    </row>
    <row r="8" spans="2:10" ht="26.25">
      <c r="B8" s="118"/>
      <c r="C8" s="118"/>
      <c r="D8" s="118"/>
      <c r="E8" s="118"/>
      <c r="F8" s="118"/>
      <c r="G8" s="118"/>
      <c r="H8" s="118"/>
      <c r="J8" s="117"/>
    </row>
    <row r="9" spans="2:10" ht="26.25">
      <c r="B9" s="118"/>
      <c r="C9" s="118"/>
      <c r="D9" s="118"/>
      <c r="E9" s="118"/>
      <c r="F9" s="118"/>
      <c r="G9" s="118"/>
      <c r="H9" s="118"/>
      <c r="J9" s="117"/>
    </row>
    <row r="10" spans="2:10" ht="26.25">
      <c r="B10" s="118"/>
      <c r="C10" s="118"/>
      <c r="D10" s="118"/>
      <c r="E10" s="118"/>
      <c r="F10" s="118"/>
      <c r="G10" s="118"/>
      <c r="H10" s="118"/>
      <c r="J10" s="117"/>
    </row>
    <row r="11" ht="16.5"/>
    <row r="12" ht="16.5">
      <c r="J12" s="117"/>
    </row>
    <row r="13" ht="16.5">
      <c r="J13" s="117"/>
    </row>
    <row r="15" spans="2:8" ht="25.5">
      <c r="B15" s="152" t="s">
        <v>124</v>
      </c>
      <c r="C15" s="153"/>
      <c r="D15" s="157" t="str">
        <f>TEXT(Saisondaten!B8,"[$-F800]TTTT, MMMM TT, JJJJ")</f>
        <v>Samstag, 11. Mai 2019</v>
      </c>
      <c r="E15" s="157"/>
      <c r="F15" s="159" t="s">
        <v>16</v>
      </c>
      <c r="G15" s="157" t="str">
        <f>TEXT(Saisondaten!C8,"[$-F800]TTTT, MMMM TT, JJJJ")</f>
        <v>Sonntag, 12. Mai 2019</v>
      </c>
      <c r="H15" s="161"/>
    </row>
    <row r="16" spans="2:8" ht="16.5">
      <c r="B16" s="150" t="str">
        <f>"in "&amp;Saisondaten!D8</f>
        <v>in Liblar</v>
      </c>
      <c r="C16" s="151"/>
      <c r="D16" s="158"/>
      <c r="E16" s="158"/>
      <c r="F16" s="160"/>
      <c r="G16" s="158"/>
      <c r="H16" s="162"/>
    </row>
    <row r="17" spans="2:8" ht="17.25">
      <c r="B17" s="117"/>
      <c r="C17" s="117"/>
      <c r="D17" s="119"/>
      <c r="E17" s="119"/>
      <c r="F17" s="22"/>
      <c r="G17" s="119"/>
      <c r="H17" s="119"/>
    </row>
    <row r="18" spans="2:8" ht="25.5">
      <c r="B18" s="152" t="s">
        <v>125</v>
      </c>
      <c r="C18" s="153"/>
      <c r="D18" s="157" t="str">
        <f>TEXT(Saisondaten!B9,"[$-F800]TTTT, MMMM TT, JJJJ")</f>
        <v>Samstag, 13. Juli 2019</v>
      </c>
      <c r="E18" s="157"/>
      <c r="F18" s="159" t="s">
        <v>16</v>
      </c>
      <c r="G18" s="157" t="str">
        <f>TEXT(Saisondaten!C9,"[$-F800]TTTT, MMMM TT, JJJJ")</f>
        <v>Sonntag, 14. Juli 2019</v>
      </c>
      <c r="H18" s="161"/>
    </row>
    <row r="19" spans="2:8" ht="16.5">
      <c r="B19" s="150" t="str">
        <f>"in "&amp;Saisondaten!D9</f>
        <v>in Coburg</v>
      </c>
      <c r="C19" s="151"/>
      <c r="D19" s="158"/>
      <c r="E19" s="158"/>
      <c r="F19" s="160"/>
      <c r="G19" s="158"/>
      <c r="H19" s="162"/>
    </row>
    <row r="20" spans="2:8" ht="17.25">
      <c r="B20" s="117"/>
      <c r="C20" s="117"/>
      <c r="D20" s="119"/>
      <c r="E20" s="119"/>
      <c r="F20" s="22"/>
      <c r="G20" s="119"/>
      <c r="H20" s="119"/>
    </row>
    <row r="21" spans="2:8" ht="25.5">
      <c r="B21" s="152" t="s">
        <v>126</v>
      </c>
      <c r="C21" s="153"/>
      <c r="D21" s="157" t="str">
        <f>TEXT(Saisondaten!B10,"[$-F800]TTTT, MMMM TT, JJJJ")</f>
        <v>Freitag, 9. August 2019</v>
      </c>
      <c r="E21" s="157"/>
      <c r="F21" s="159" t="s">
        <v>16</v>
      </c>
      <c r="G21" s="157" t="str">
        <f>TEXT(Saisondaten!C10,"[$-F800]TTTT, MMMM TT, JJJJ")</f>
        <v>Sonntag, 11. August 2019</v>
      </c>
      <c r="H21" s="161"/>
    </row>
    <row r="22" spans="2:8" ht="16.5">
      <c r="B22" s="150" t="str">
        <f>"in "&amp;Saisondaten!D10</f>
        <v>in Brandenburg a.d. Havel</v>
      </c>
      <c r="C22" s="151"/>
      <c r="D22" s="158"/>
      <c r="E22" s="158"/>
      <c r="F22" s="160"/>
      <c r="G22" s="158"/>
      <c r="H22" s="162"/>
    </row>
    <row r="24" spans="3:7" ht="33">
      <c r="C24" s="132" t="s">
        <v>127</v>
      </c>
      <c r="D24" s="133"/>
      <c r="E24" s="133"/>
      <c r="F24" s="133"/>
      <c r="G24" s="134"/>
    </row>
    <row r="25" spans="3:7" ht="25.5">
      <c r="C25" s="154" t="s">
        <v>121</v>
      </c>
      <c r="D25" s="155"/>
      <c r="E25" s="155"/>
      <c r="F25" s="155"/>
      <c r="G25" s="156"/>
    </row>
    <row r="26" spans="3:7" ht="17.25" customHeight="1">
      <c r="C26" s="135" t="str">
        <f>Saisondaten!B16</f>
        <v>ACC Hamburg</v>
      </c>
      <c r="D26" s="136"/>
      <c r="E26" s="136"/>
      <c r="F26" s="136"/>
      <c r="G26" s="137"/>
    </row>
    <row r="27" spans="1:10" s="117" customFormat="1" ht="17.25" customHeight="1">
      <c r="A27" s="18"/>
      <c r="B27" s="18"/>
      <c r="C27" s="144" t="str">
        <f>Saisondaten!B17</f>
        <v>KRM Essen</v>
      </c>
      <c r="D27" s="145"/>
      <c r="E27" s="145"/>
      <c r="F27" s="145"/>
      <c r="G27" s="146"/>
      <c r="I27" s="18"/>
      <c r="J27" s="18"/>
    </row>
    <row r="28" spans="1:10" s="117" customFormat="1" ht="17.25" customHeight="1">
      <c r="A28" s="18"/>
      <c r="B28" s="18"/>
      <c r="C28" s="147" t="str">
        <f>Saisondaten!B18</f>
        <v>PSC Coburg</v>
      </c>
      <c r="D28" s="148"/>
      <c r="E28" s="148"/>
      <c r="F28" s="148"/>
      <c r="G28" s="149"/>
      <c r="I28" s="18"/>
      <c r="J28" s="18"/>
    </row>
    <row r="29" spans="1:10" s="117" customFormat="1" ht="17.25" customHeight="1">
      <c r="A29" s="18"/>
      <c r="B29" s="18"/>
      <c r="C29" s="144" t="str">
        <f>Saisondaten!B19</f>
        <v>KCNW Berlin</v>
      </c>
      <c r="D29" s="145"/>
      <c r="E29" s="145"/>
      <c r="F29" s="145"/>
      <c r="G29" s="146"/>
      <c r="I29" s="18"/>
      <c r="J29" s="18"/>
    </row>
    <row r="30" spans="1:10" s="117" customFormat="1" ht="17.25" customHeight="1">
      <c r="A30" s="18"/>
      <c r="B30" s="18"/>
      <c r="C30" s="141" t="str">
        <f>Saisondaten!B20</f>
        <v>WSF Liblar</v>
      </c>
      <c r="D30" s="142"/>
      <c r="E30" s="142"/>
      <c r="F30" s="142"/>
      <c r="G30" s="143"/>
      <c r="I30" s="18"/>
      <c r="J30" s="18"/>
    </row>
    <row r="31" spans="1:10" s="117" customFormat="1" ht="17.25" customHeight="1">
      <c r="A31" s="18"/>
      <c r="B31" s="18"/>
      <c r="C31" s="144" t="str">
        <f>Saisondaten!B21</f>
        <v>KSVH Berlin</v>
      </c>
      <c r="D31" s="145"/>
      <c r="E31" s="145"/>
      <c r="F31" s="145"/>
      <c r="G31" s="146"/>
      <c r="I31" s="18"/>
      <c r="J31" s="18"/>
    </row>
    <row r="32" spans="1:10" s="117" customFormat="1" ht="17.25" customHeight="1">
      <c r="A32" s="18"/>
      <c r="B32" s="18"/>
      <c r="C32" s="141" t="str">
        <f>Saisondaten!B22</f>
        <v>1. MKC Duisburg</v>
      </c>
      <c r="D32" s="142"/>
      <c r="E32" s="142"/>
      <c r="F32" s="142"/>
      <c r="G32" s="143"/>
      <c r="I32" s="18"/>
      <c r="J32" s="18"/>
    </row>
    <row r="33" spans="1:10" s="117" customFormat="1" ht="17.25" customHeight="1">
      <c r="A33" s="18"/>
      <c r="B33" s="18"/>
      <c r="C33" s="138" t="str">
        <f>Saisondaten!B23</f>
        <v>KP Münster</v>
      </c>
      <c r="D33" s="139"/>
      <c r="E33" s="139"/>
      <c r="F33" s="139"/>
      <c r="G33" s="140"/>
      <c r="I33" s="18"/>
      <c r="J33" s="18"/>
    </row>
    <row r="37" spans="1:10" s="117" customFormat="1" ht="16.5">
      <c r="A37" s="18"/>
      <c r="B37" s="18"/>
      <c r="C37" s="18"/>
      <c r="D37" s="18"/>
      <c r="F37" s="18"/>
      <c r="I37" s="18"/>
      <c r="J37" s="18"/>
    </row>
    <row r="38" spans="1:10" s="117" customFormat="1" ht="16.5">
      <c r="A38" s="18"/>
      <c r="B38" s="18"/>
      <c r="C38" s="18"/>
      <c r="D38" s="18"/>
      <c r="F38" s="18"/>
      <c r="I38" s="18"/>
      <c r="J38" s="18"/>
    </row>
    <row r="39" spans="1:10" s="117" customFormat="1" ht="16.5">
      <c r="A39" s="18"/>
      <c r="B39" s="18"/>
      <c r="C39" s="18"/>
      <c r="D39" s="18"/>
      <c r="F39" s="18"/>
      <c r="I39" s="18"/>
      <c r="J39" s="18"/>
    </row>
    <row r="40" spans="1:10" s="117" customFormat="1" ht="16.5">
      <c r="A40" s="18"/>
      <c r="B40" s="18"/>
      <c r="C40" s="18"/>
      <c r="D40" s="18"/>
      <c r="F40" s="18"/>
      <c r="I40" s="18"/>
      <c r="J40" s="18"/>
    </row>
    <row r="41" spans="1:10" s="117" customFormat="1" ht="16.5">
      <c r="A41" s="18"/>
      <c r="B41" s="18"/>
      <c r="C41" s="18"/>
      <c r="D41" s="18"/>
      <c r="F41" s="18"/>
      <c r="I41" s="18"/>
      <c r="J41" s="18"/>
    </row>
    <row r="42" spans="1:10" s="117" customFormat="1" ht="16.5">
      <c r="A42" s="18"/>
      <c r="B42" s="18"/>
      <c r="C42" s="18"/>
      <c r="D42" s="18"/>
      <c r="F42" s="18"/>
      <c r="I42" s="18"/>
      <c r="J42" s="18"/>
    </row>
    <row r="43" spans="1:10" s="117" customFormat="1" ht="16.5">
      <c r="A43" s="18"/>
      <c r="B43" s="18"/>
      <c r="C43" s="18"/>
      <c r="D43" s="18"/>
      <c r="F43" s="18"/>
      <c r="I43" s="18"/>
      <c r="J43" s="18"/>
    </row>
    <row r="44" spans="1:10" s="117" customFormat="1" ht="16.5">
      <c r="A44" s="18"/>
      <c r="B44" s="18"/>
      <c r="C44" s="18"/>
      <c r="D44" s="18"/>
      <c r="F44" s="18"/>
      <c r="I44" s="18"/>
      <c r="J44" s="18"/>
    </row>
  </sheetData>
  <sheetProtection sheet="1" objects="1" scenarios="1" selectLockedCells="1"/>
  <mergeCells count="28">
    <mergeCell ref="F18:F19"/>
    <mergeCell ref="G18:H19"/>
    <mergeCell ref="B19:C19"/>
    <mergeCell ref="A2:I2"/>
    <mergeCell ref="B3:H3"/>
    <mergeCell ref="B4:H4"/>
    <mergeCell ref="B15:C15"/>
    <mergeCell ref="D15:E16"/>
    <mergeCell ref="F15:F16"/>
    <mergeCell ref="G15:H16"/>
    <mergeCell ref="B16:C16"/>
    <mergeCell ref="B18:C18"/>
    <mergeCell ref="C27:G27"/>
    <mergeCell ref="C25:G25"/>
    <mergeCell ref="B21:C21"/>
    <mergeCell ref="D21:E22"/>
    <mergeCell ref="F21:F22"/>
    <mergeCell ref="D18:E19"/>
    <mergeCell ref="G21:H22"/>
    <mergeCell ref="B22:C22"/>
    <mergeCell ref="C24:G24"/>
    <mergeCell ref="C26:G26"/>
    <mergeCell ref="C33:G33"/>
    <mergeCell ref="C32:G32"/>
    <mergeCell ref="C31:G31"/>
    <mergeCell ref="C30:G30"/>
    <mergeCell ref="C29:G29"/>
    <mergeCell ref="C28:G28"/>
  </mergeCells>
  <printOptions horizontalCentered="1"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F2" sqref="F2"/>
    </sheetView>
  </sheetViews>
  <sheetFormatPr defaultColWidth="11.421875" defaultRowHeight="15"/>
  <cols>
    <col min="1" max="1" width="7.28125" style="0" bestFit="1" customWidth="1"/>
    <col min="2" max="2" width="8.28125" style="0" bestFit="1" customWidth="1"/>
    <col min="3" max="3" width="4.8515625" style="0" bestFit="1" customWidth="1"/>
    <col min="4" max="4" width="5.57421875" style="0" bestFit="1" customWidth="1"/>
    <col min="5" max="5" width="9.57421875" style="0" bestFit="1" customWidth="1"/>
    <col min="6" max="7" width="15.28125" style="0" bestFit="1" customWidth="1"/>
    <col min="8" max="8" width="10.140625" style="0" bestFit="1" customWidth="1"/>
    <col min="9" max="9" width="10.140625" style="0" customWidth="1"/>
    <col min="10" max="10" width="10.140625" style="0" bestFit="1" customWidth="1"/>
  </cols>
  <sheetData>
    <row r="1" spans="1:10" ht="15">
      <c r="A1" t="s">
        <v>95</v>
      </c>
      <c r="B1" t="s">
        <v>96</v>
      </c>
      <c r="C1" t="s">
        <v>24</v>
      </c>
      <c r="D1" t="s">
        <v>25</v>
      </c>
      <c r="E1" t="s">
        <v>6</v>
      </c>
      <c r="F1" t="s">
        <v>48</v>
      </c>
      <c r="G1" t="s">
        <v>49</v>
      </c>
      <c r="H1" t="s">
        <v>97</v>
      </c>
      <c r="I1" t="s">
        <v>3</v>
      </c>
      <c r="J1" t="s">
        <v>0</v>
      </c>
    </row>
    <row r="2" spans="1:10" ht="15">
      <c r="A2">
        <f>Hinrunde!A7</f>
        <v>1</v>
      </c>
      <c r="B2" t="str">
        <f>Hinrunde!B7</f>
        <v>T</v>
      </c>
      <c r="C2">
        <f>Hinrunde!C7</f>
        <v>1</v>
      </c>
      <c r="D2" s="32">
        <f>Hinrunde!D7</f>
        <v>0.3541666666666667</v>
      </c>
      <c r="E2" t="s">
        <v>121</v>
      </c>
      <c r="F2" t="str">
        <f>Hinrunde!E7</f>
        <v>ACC Hamburg</v>
      </c>
      <c r="G2" t="str">
        <f>Hinrunde!G7</f>
        <v>KP Münster</v>
      </c>
      <c r="H2" t="s">
        <v>45</v>
      </c>
      <c r="I2" t="str">
        <f>Saisondaten!$D$8</f>
        <v>Liblar</v>
      </c>
      <c r="J2" s="33">
        <f>Saisondaten!$B$8</f>
        <v>43596</v>
      </c>
    </row>
    <row r="3" spans="1:10" ht="15">
      <c r="A3">
        <f>Hinrunde!A8</f>
        <v>2</v>
      </c>
      <c r="B3" t="str">
        <f>Hinrunde!B8</f>
        <v>T</v>
      </c>
      <c r="C3">
        <f>Hinrunde!C8</f>
        <v>2</v>
      </c>
      <c r="D3" s="32">
        <f>Hinrunde!D8</f>
        <v>0.3541666666666667</v>
      </c>
      <c r="E3" t="s">
        <v>121</v>
      </c>
      <c r="F3" t="str">
        <f>Hinrunde!E8</f>
        <v>PSC Coburg</v>
      </c>
      <c r="G3" t="str">
        <f>Hinrunde!G8</f>
        <v>KSVH Berlin</v>
      </c>
      <c r="H3" t="s">
        <v>45</v>
      </c>
      <c r="I3" t="str">
        <f>Saisondaten!$D$8</f>
        <v>Liblar</v>
      </c>
      <c r="J3" s="33">
        <f>Saisondaten!$B$8</f>
        <v>43596</v>
      </c>
    </row>
    <row r="4" spans="1:10" ht="15">
      <c r="A4">
        <f>Hinrunde!A9</f>
        <v>3</v>
      </c>
      <c r="B4" t="str">
        <f>Hinrunde!B9</f>
        <v>T</v>
      </c>
      <c r="C4">
        <f>Hinrunde!C9</f>
        <v>1</v>
      </c>
      <c r="D4" s="32">
        <f>Hinrunde!D9</f>
        <v>0.3854166666666667</v>
      </c>
      <c r="E4" t="s">
        <v>121</v>
      </c>
      <c r="F4" t="str">
        <f>Hinrunde!E9</f>
        <v>KRM Essen</v>
      </c>
      <c r="G4" t="str">
        <f>Hinrunde!G9</f>
        <v>1. MKC Duisburg</v>
      </c>
      <c r="H4" t="s">
        <v>45</v>
      </c>
      <c r="I4" t="str">
        <f>Saisondaten!$D$8</f>
        <v>Liblar</v>
      </c>
      <c r="J4" s="33">
        <f>Saisondaten!$B$8</f>
        <v>43596</v>
      </c>
    </row>
    <row r="5" spans="1:10" ht="15">
      <c r="A5">
        <f>Hinrunde!A10</f>
        <v>4</v>
      </c>
      <c r="B5" t="str">
        <f>Hinrunde!B10</f>
        <v>T</v>
      </c>
      <c r="C5">
        <f>Hinrunde!C10</f>
        <v>2</v>
      </c>
      <c r="D5" s="32">
        <f>Hinrunde!D10</f>
        <v>0.3854166666666667</v>
      </c>
      <c r="E5" t="s">
        <v>121</v>
      </c>
      <c r="F5" t="str">
        <f>Hinrunde!E10</f>
        <v>KCNW Berlin</v>
      </c>
      <c r="G5" t="str">
        <f>Hinrunde!G10</f>
        <v>WSF Liblar</v>
      </c>
      <c r="H5" t="s">
        <v>45</v>
      </c>
      <c r="I5" t="str">
        <f>Saisondaten!$D$8</f>
        <v>Liblar</v>
      </c>
      <c r="J5" s="33">
        <f>Saisondaten!$B$8</f>
        <v>43596</v>
      </c>
    </row>
    <row r="6" spans="1:10" ht="15">
      <c r="A6">
        <f>Hinrunde!A11</f>
        <v>5</v>
      </c>
      <c r="B6" t="str">
        <f>Hinrunde!B11</f>
        <v>T</v>
      </c>
      <c r="C6">
        <f>Hinrunde!C11</f>
        <v>2</v>
      </c>
      <c r="D6" s="32">
        <f>Hinrunde!D11</f>
        <v>0.4166666666666667</v>
      </c>
      <c r="E6" t="s">
        <v>121</v>
      </c>
      <c r="F6" t="str">
        <f>Hinrunde!E11</f>
        <v>PSC Coburg</v>
      </c>
      <c r="G6" t="str">
        <f>Hinrunde!G11</f>
        <v>KP Münster</v>
      </c>
      <c r="H6" t="s">
        <v>45</v>
      </c>
      <c r="I6" t="str">
        <f>Saisondaten!$D$8</f>
        <v>Liblar</v>
      </c>
      <c r="J6" s="33">
        <f>Saisondaten!$B$8</f>
        <v>43596</v>
      </c>
    </row>
    <row r="7" spans="1:10" ht="15">
      <c r="A7">
        <f>Hinrunde!A12</f>
        <v>6</v>
      </c>
      <c r="B7" t="str">
        <f>Hinrunde!B12</f>
        <v>T</v>
      </c>
      <c r="C7">
        <f>Hinrunde!C12</f>
        <v>2</v>
      </c>
      <c r="D7" s="32">
        <f>Hinrunde!D12</f>
        <v>0.4479166666666667</v>
      </c>
      <c r="E7" t="s">
        <v>121</v>
      </c>
      <c r="F7" t="str">
        <f>Hinrunde!E12</f>
        <v>KSVH Berlin</v>
      </c>
      <c r="G7" t="str">
        <f>Hinrunde!G12</f>
        <v>1. MKC Duisburg</v>
      </c>
      <c r="H7" t="s">
        <v>45</v>
      </c>
      <c r="I7" t="str">
        <f>Saisondaten!$D$8</f>
        <v>Liblar</v>
      </c>
      <c r="J7" s="33">
        <f>Saisondaten!$B$8</f>
        <v>43596</v>
      </c>
    </row>
    <row r="8" spans="1:10" ht="15">
      <c r="A8">
        <f>Hinrunde!A13</f>
        <v>7</v>
      </c>
      <c r="B8" t="str">
        <f>Hinrunde!B13</f>
        <v>T</v>
      </c>
      <c r="C8">
        <f>Hinrunde!C13</f>
        <v>2</v>
      </c>
      <c r="D8" s="32">
        <f>Hinrunde!D13</f>
        <v>0.4791666666666667</v>
      </c>
      <c r="E8" t="s">
        <v>121</v>
      </c>
      <c r="F8" t="str">
        <f>Hinrunde!E13</f>
        <v>ACC Hamburg</v>
      </c>
      <c r="G8" t="str">
        <f>Hinrunde!G13</f>
        <v>KCNW Berlin</v>
      </c>
      <c r="H8" t="s">
        <v>45</v>
      </c>
      <c r="I8" t="str">
        <f>Saisondaten!$D$8</f>
        <v>Liblar</v>
      </c>
      <c r="J8" s="33">
        <f>Saisondaten!$B$8</f>
        <v>43596</v>
      </c>
    </row>
    <row r="9" spans="1:10" ht="15">
      <c r="A9">
        <f>Hinrunde!A14</f>
        <v>8</v>
      </c>
      <c r="B9" t="str">
        <f>Hinrunde!B14</f>
        <v>T</v>
      </c>
      <c r="C9">
        <f>Hinrunde!C14</f>
        <v>2</v>
      </c>
      <c r="D9" s="32">
        <f>Hinrunde!D14</f>
        <v>0.5104166666666667</v>
      </c>
      <c r="E9" t="s">
        <v>121</v>
      </c>
      <c r="F9" t="str">
        <f>Hinrunde!E14</f>
        <v>KRM Essen</v>
      </c>
      <c r="G9" t="str">
        <f>Hinrunde!G14</f>
        <v>WSF Liblar</v>
      </c>
      <c r="H9" t="s">
        <v>45</v>
      </c>
      <c r="I9" t="str">
        <f>Saisondaten!$D$8</f>
        <v>Liblar</v>
      </c>
      <c r="J9" s="33">
        <f>Saisondaten!$B$8</f>
        <v>43596</v>
      </c>
    </row>
    <row r="10" spans="1:10" ht="15">
      <c r="A10">
        <f>Hinrunde!A15</f>
        <v>9</v>
      </c>
      <c r="B10" t="str">
        <f>Hinrunde!B15</f>
        <v>T</v>
      </c>
      <c r="C10">
        <f>Hinrunde!C15</f>
        <v>2</v>
      </c>
      <c r="D10" s="32">
        <f>Hinrunde!D15</f>
        <v>0.5416666666666667</v>
      </c>
      <c r="E10" t="s">
        <v>121</v>
      </c>
      <c r="F10" t="str">
        <f>Hinrunde!E15</f>
        <v>KCNW Berlin</v>
      </c>
      <c r="G10" t="str">
        <f>Hinrunde!G15</f>
        <v>KSVH Berlin</v>
      </c>
      <c r="H10" t="s">
        <v>45</v>
      </c>
      <c r="I10" t="str">
        <f>Saisondaten!$D$8</f>
        <v>Liblar</v>
      </c>
      <c r="J10" s="33">
        <f>Saisondaten!$B$8</f>
        <v>43596</v>
      </c>
    </row>
    <row r="11" spans="1:10" ht="15">
      <c r="A11">
        <f>Hinrunde!A16</f>
        <v>10</v>
      </c>
      <c r="B11" t="str">
        <f>Hinrunde!B16</f>
        <v>T</v>
      </c>
      <c r="C11">
        <f>Hinrunde!C16</f>
        <v>2</v>
      </c>
      <c r="D11" s="32">
        <f>Hinrunde!D16</f>
        <v>0.5729166666666667</v>
      </c>
      <c r="E11" t="s">
        <v>121</v>
      </c>
      <c r="F11" t="str">
        <f>Hinrunde!E16</f>
        <v>KRM Essen</v>
      </c>
      <c r="G11" t="str">
        <f>Hinrunde!G16</f>
        <v>KP Münster</v>
      </c>
      <c r="H11" t="s">
        <v>45</v>
      </c>
      <c r="I11" t="str">
        <f>Saisondaten!$D$8</f>
        <v>Liblar</v>
      </c>
      <c r="J11" s="33">
        <f>Saisondaten!$B$8</f>
        <v>43596</v>
      </c>
    </row>
    <row r="12" spans="1:10" ht="15">
      <c r="A12">
        <f>Hinrunde!A17</f>
        <v>11</v>
      </c>
      <c r="B12" t="str">
        <f>Hinrunde!B17</f>
        <v>T</v>
      </c>
      <c r="C12">
        <f>Hinrunde!C17</f>
        <v>2</v>
      </c>
      <c r="D12" s="32">
        <f>Hinrunde!D17</f>
        <v>0.6041666666666667</v>
      </c>
      <c r="E12" t="s">
        <v>121</v>
      </c>
      <c r="F12" t="str">
        <f>Hinrunde!E17</f>
        <v>ACC Hamburg</v>
      </c>
      <c r="G12" t="str">
        <f>Hinrunde!G17</f>
        <v>1. MKC Duisburg</v>
      </c>
      <c r="H12" t="s">
        <v>45</v>
      </c>
      <c r="I12" t="str">
        <f>Saisondaten!$D$8</f>
        <v>Liblar</v>
      </c>
      <c r="J12" s="33">
        <f>Saisondaten!$B$8</f>
        <v>43596</v>
      </c>
    </row>
    <row r="13" spans="1:10" ht="15">
      <c r="A13">
        <f>Hinrunde!A18</f>
        <v>12</v>
      </c>
      <c r="B13" t="str">
        <f>Hinrunde!B18</f>
        <v>T</v>
      </c>
      <c r="C13">
        <f>Hinrunde!C18</f>
        <v>2</v>
      </c>
      <c r="D13" s="32">
        <f>Hinrunde!D18</f>
        <v>0.6354166666666667</v>
      </c>
      <c r="E13" t="s">
        <v>121</v>
      </c>
      <c r="F13" t="str">
        <f>Hinrunde!E18</f>
        <v>PSC Coburg</v>
      </c>
      <c r="G13" t="str">
        <f>Hinrunde!G18</f>
        <v>WSF Liblar</v>
      </c>
      <c r="H13" t="s">
        <v>45</v>
      </c>
      <c r="I13" t="str">
        <f>Saisondaten!$D$8</f>
        <v>Liblar</v>
      </c>
      <c r="J13" s="33">
        <f>Saisondaten!$B$8</f>
        <v>43596</v>
      </c>
    </row>
    <row r="14" spans="1:10" ht="15">
      <c r="A14">
        <f>Hinrunde!A19</f>
        <v>13</v>
      </c>
      <c r="B14" t="str">
        <f>Hinrunde!B19</f>
        <v>T</v>
      </c>
      <c r="C14">
        <f>Hinrunde!C19</f>
        <v>2</v>
      </c>
      <c r="D14" s="32">
        <f>Hinrunde!D19</f>
        <v>0.6666666666666667</v>
      </c>
      <c r="E14" t="s">
        <v>121</v>
      </c>
      <c r="F14" t="str">
        <f>Hinrunde!E19</f>
        <v>KRM Essen</v>
      </c>
      <c r="G14" t="str">
        <f>Hinrunde!G19</f>
        <v>KSVH Berlin</v>
      </c>
      <c r="H14" t="s">
        <v>45</v>
      </c>
      <c r="I14" t="str">
        <f>Saisondaten!$D$8</f>
        <v>Liblar</v>
      </c>
      <c r="J14" s="33">
        <f>Saisondaten!$B$8</f>
        <v>43596</v>
      </c>
    </row>
    <row r="15" spans="1:10" ht="15">
      <c r="A15">
        <f>Hinrunde!A20</f>
        <v>14</v>
      </c>
      <c r="B15" t="str">
        <f>Hinrunde!B20</f>
        <v>T</v>
      </c>
      <c r="C15">
        <f>Hinrunde!C20</f>
        <v>2</v>
      </c>
      <c r="D15" s="32">
        <f>Hinrunde!D20</f>
        <v>0.6979166666666667</v>
      </c>
      <c r="E15" t="s">
        <v>121</v>
      </c>
      <c r="F15" t="str">
        <f>Hinrunde!E20</f>
        <v>ACC Hamburg</v>
      </c>
      <c r="G15" t="str">
        <f>Hinrunde!G20</f>
        <v>PSC Coburg</v>
      </c>
      <c r="H15" t="s">
        <v>45</v>
      </c>
      <c r="I15" t="str">
        <f>Saisondaten!$D$8</f>
        <v>Liblar</v>
      </c>
      <c r="J15" s="33">
        <f>Saisondaten!$B$8</f>
        <v>43596</v>
      </c>
    </row>
    <row r="16" spans="1:10" ht="15">
      <c r="A16">
        <f>Hinrunde!A21</f>
        <v>15</v>
      </c>
      <c r="B16" t="str">
        <f>Hinrunde!B21</f>
        <v>T</v>
      </c>
      <c r="C16">
        <f>Hinrunde!C21</f>
        <v>2</v>
      </c>
      <c r="D16" s="32">
        <f>Hinrunde!D21</f>
        <v>0.7291666666666667</v>
      </c>
      <c r="E16" t="s">
        <v>121</v>
      </c>
      <c r="F16" t="str">
        <f>Hinrunde!E21</f>
        <v>KCNW Berlin</v>
      </c>
      <c r="G16" t="str">
        <f>Hinrunde!G21</f>
        <v>1. MKC Duisburg</v>
      </c>
      <c r="H16" t="s">
        <v>45</v>
      </c>
      <c r="I16" t="str">
        <f>Saisondaten!$D$8</f>
        <v>Liblar</v>
      </c>
      <c r="J16" s="33">
        <f>Saisondaten!$B$8</f>
        <v>43596</v>
      </c>
    </row>
    <row r="17" spans="1:10" ht="15">
      <c r="A17">
        <f>Hinrunde!A22</f>
        <v>16</v>
      </c>
      <c r="B17" t="str">
        <f>Hinrunde!B22</f>
        <v>T</v>
      </c>
      <c r="C17">
        <f>Hinrunde!C22</f>
        <v>2</v>
      </c>
      <c r="D17" s="32">
        <f>Hinrunde!D22</f>
        <v>0.7604166666666667</v>
      </c>
      <c r="E17" t="s">
        <v>121</v>
      </c>
      <c r="F17" t="str">
        <f>Hinrunde!E22</f>
        <v>WSF Liblar</v>
      </c>
      <c r="G17" t="str">
        <f>Hinrunde!G22</f>
        <v>KP Münster</v>
      </c>
      <c r="H17" t="s">
        <v>45</v>
      </c>
      <c r="I17" t="str">
        <f>Saisondaten!$D$8</f>
        <v>Liblar</v>
      </c>
      <c r="J17" s="33">
        <f>Saisondaten!$B$8</f>
        <v>43596</v>
      </c>
    </row>
    <row r="18" spans="1:10" ht="15">
      <c r="A18">
        <f>Hinrunde!A25</f>
        <v>17</v>
      </c>
      <c r="B18" t="str">
        <f>Hinrunde!B25</f>
        <v>T</v>
      </c>
      <c r="C18">
        <f>Hinrunde!C25</f>
        <v>1</v>
      </c>
      <c r="D18" s="32">
        <f>Hinrunde!D25</f>
        <v>0.3541666666666667</v>
      </c>
      <c r="E18" t="s">
        <v>121</v>
      </c>
      <c r="F18" t="str">
        <f>Hinrunde!E25</f>
        <v>KSVH Berlin</v>
      </c>
      <c r="G18" t="str">
        <f>Hinrunde!G25</f>
        <v>KP Münster</v>
      </c>
      <c r="H18" t="s">
        <v>45</v>
      </c>
      <c r="I18" t="str">
        <f>Saisondaten!$D$8</f>
        <v>Liblar</v>
      </c>
      <c r="J18" s="33">
        <f>Saisondaten!$C$8</f>
        <v>43597</v>
      </c>
    </row>
    <row r="19" spans="1:10" ht="15">
      <c r="A19">
        <f>Hinrunde!A26</f>
        <v>18</v>
      </c>
      <c r="B19" t="str">
        <f>Hinrunde!B26</f>
        <v>T</v>
      </c>
      <c r="C19">
        <f>Hinrunde!C26</f>
        <v>2</v>
      </c>
      <c r="D19" s="32">
        <f>Hinrunde!D26</f>
        <v>0.3541666666666667</v>
      </c>
      <c r="E19" t="s">
        <v>121</v>
      </c>
      <c r="F19" t="str">
        <f>Hinrunde!E26</f>
        <v>KRM Essen</v>
      </c>
      <c r="G19" t="str">
        <f>Hinrunde!G26</f>
        <v>KCNW Berlin</v>
      </c>
      <c r="H19" t="s">
        <v>45</v>
      </c>
      <c r="I19" t="str">
        <f>Saisondaten!$D$8</f>
        <v>Liblar</v>
      </c>
      <c r="J19" s="33">
        <f>Saisondaten!$C$8</f>
        <v>43597</v>
      </c>
    </row>
    <row r="20" spans="1:10" ht="15">
      <c r="A20">
        <f>Hinrunde!A27</f>
        <v>19</v>
      </c>
      <c r="B20" t="str">
        <f>Hinrunde!B27</f>
        <v>T</v>
      </c>
      <c r="C20">
        <f>Hinrunde!C27</f>
        <v>1</v>
      </c>
      <c r="D20" s="32">
        <f>Hinrunde!D27</f>
        <v>0.3854166666666667</v>
      </c>
      <c r="E20" t="s">
        <v>121</v>
      </c>
      <c r="F20" t="str">
        <f>Hinrunde!E27</f>
        <v>PSC Coburg</v>
      </c>
      <c r="G20" t="str">
        <f>Hinrunde!G27</f>
        <v>1. MKC Duisburg</v>
      </c>
      <c r="H20" t="s">
        <v>45</v>
      </c>
      <c r="I20" t="str">
        <f>Saisondaten!$D$8</f>
        <v>Liblar</v>
      </c>
      <c r="J20" s="33">
        <f>Saisondaten!$C$8</f>
        <v>43597</v>
      </c>
    </row>
    <row r="21" spans="1:10" ht="15">
      <c r="A21">
        <f>Hinrunde!A28</f>
        <v>20</v>
      </c>
      <c r="B21" t="str">
        <f>Hinrunde!B28</f>
        <v>T</v>
      </c>
      <c r="C21">
        <f>Hinrunde!C28</f>
        <v>2</v>
      </c>
      <c r="D21" s="32">
        <f>Hinrunde!D28</f>
        <v>0.3854166666666667</v>
      </c>
      <c r="E21" t="s">
        <v>121</v>
      </c>
      <c r="F21" t="str">
        <f>Hinrunde!E28</f>
        <v>ACC Hamburg</v>
      </c>
      <c r="G21" t="str">
        <f>Hinrunde!G28</f>
        <v>WSF Liblar</v>
      </c>
      <c r="H21" t="s">
        <v>45</v>
      </c>
      <c r="I21" t="str">
        <f>Saisondaten!$D$8</f>
        <v>Liblar</v>
      </c>
      <c r="J21" s="33">
        <f>Saisondaten!$C$8</f>
        <v>43597</v>
      </c>
    </row>
    <row r="22" spans="1:10" ht="15">
      <c r="A22">
        <f>Hinrunde!A29</f>
        <v>21</v>
      </c>
      <c r="B22" t="str">
        <f>Hinrunde!B29</f>
        <v>T</v>
      </c>
      <c r="C22">
        <f>Hinrunde!C29</f>
        <v>2</v>
      </c>
      <c r="D22" s="32">
        <f>Hinrunde!D29</f>
        <v>0.4166666666666667</v>
      </c>
      <c r="E22" t="s">
        <v>121</v>
      </c>
      <c r="F22" t="str">
        <f>Hinrunde!E29</f>
        <v>KCNW Berlin</v>
      </c>
      <c r="G22" t="str">
        <f>Hinrunde!G29</f>
        <v>KP Münster</v>
      </c>
      <c r="H22" t="s">
        <v>45</v>
      </c>
      <c r="I22" t="str">
        <f>Saisondaten!$D$8</f>
        <v>Liblar</v>
      </c>
      <c r="J22" s="33">
        <f>Saisondaten!$C$8</f>
        <v>43597</v>
      </c>
    </row>
    <row r="23" spans="1:10" ht="15">
      <c r="A23">
        <f>Hinrunde!A30</f>
        <v>22</v>
      </c>
      <c r="B23" t="str">
        <f>Hinrunde!B30</f>
        <v>T</v>
      </c>
      <c r="C23">
        <f>Hinrunde!C30</f>
        <v>2</v>
      </c>
      <c r="D23" s="32">
        <f>Hinrunde!D30</f>
        <v>0.4444444444444445</v>
      </c>
      <c r="E23" t="s">
        <v>121</v>
      </c>
      <c r="F23" t="str">
        <f>Hinrunde!E30</f>
        <v>WSF Liblar</v>
      </c>
      <c r="G23" t="str">
        <f>Hinrunde!G30</f>
        <v>1. MKC Duisburg</v>
      </c>
      <c r="H23" t="s">
        <v>45</v>
      </c>
      <c r="I23" t="str">
        <f>Saisondaten!$D$8</f>
        <v>Liblar</v>
      </c>
      <c r="J23" s="33">
        <f>Saisondaten!$C$8</f>
        <v>43597</v>
      </c>
    </row>
    <row r="24" spans="1:10" ht="15">
      <c r="A24">
        <f>Hinrunde!A31</f>
        <v>23</v>
      </c>
      <c r="B24" t="str">
        <f>Hinrunde!B31</f>
        <v>T</v>
      </c>
      <c r="C24">
        <f>Hinrunde!C31</f>
        <v>2</v>
      </c>
      <c r="D24" s="32">
        <f>Hinrunde!D31</f>
        <v>0.46875000000000006</v>
      </c>
      <c r="E24" t="s">
        <v>121</v>
      </c>
      <c r="F24" t="str">
        <f>Hinrunde!E31</f>
        <v>KRM Essen</v>
      </c>
      <c r="G24" t="str">
        <f>Hinrunde!G31</f>
        <v>PSC Coburg</v>
      </c>
      <c r="H24" t="s">
        <v>45</v>
      </c>
      <c r="I24" t="str">
        <f>Saisondaten!$D$8</f>
        <v>Liblar</v>
      </c>
      <c r="J24" s="33">
        <f>Saisondaten!$C$8</f>
        <v>43597</v>
      </c>
    </row>
    <row r="25" spans="1:10" ht="15">
      <c r="A25">
        <f>Hinrunde!A32</f>
        <v>24</v>
      </c>
      <c r="B25" t="str">
        <f>Hinrunde!B32</f>
        <v>T</v>
      </c>
      <c r="C25">
        <f>Hinrunde!C32</f>
        <v>2</v>
      </c>
      <c r="D25" s="32">
        <f>Hinrunde!D32</f>
        <v>0.49305555555555564</v>
      </c>
      <c r="E25" t="s">
        <v>121</v>
      </c>
      <c r="F25" t="str">
        <f>Hinrunde!E32</f>
        <v>ACC Hamburg</v>
      </c>
      <c r="G25" t="str">
        <f>Hinrunde!G32</f>
        <v>KSVH Berlin</v>
      </c>
      <c r="H25" t="s">
        <v>45</v>
      </c>
      <c r="I25" t="str">
        <f>Saisondaten!$D$8</f>
        <v>Liblar</v>
      </c>
      <c r="J25" s="33">
        <f>Saisondaten!$C$8</f>
        <v>43597</v>
      </c>
    </row>
    <row r="26" spans="1:10" ht="15">
      <c r="A26">
        <f>Hinrunde!A33</f>
        <v>25</v>
      </c>
      <c r="B26" t="str">
        <f>Hinrunde!B33</f>
        <v>T</v>
      </c>
      <c r="C26">
        <f>Hinrunde!C33</f>
        <v>2</v>
      </c>
      <c r="D26" s="32">
        <f>Hinrunde!D33</f>
        <v>0.5208333333333334</v>
      </c>
      <c r="E26" t="s">
        <v>121</v>
      </c>
      <c r="F26" t="str">
        <f>Hinrunde!E33</f>
        <v>1. MKC Duisburg</v>
      </c>
      <c r="G26" t="str">
        <f>Hinrunde!G33</f>
        <v>KP Münster</v>
      </c>
      <c r="H26" t="s">
        <v>45</v>
      </c>
      <c r="I26" t="str">
        <f>Saisondaten!$D$8</f>
        <v>Liblar</v>
      </c>
      <c r="J26" s="33">
        <f>Saisondaten!$C$8</f>
        <v>43597</v>
      </c>
    </row>
    <row r="27" spans="1:10" ht="15">
      <c r="A27">
        <f>Hinrunde!A34</f>
        <v>26</v>
      </c>
      <c r="B27" t="str">
        <f>Hinrunde!B34</f>
        <v>T</v>
      </c>
      <c r="C27">
        <f>Hinrunde!C34</f>
        <v>2</v>
      </c>
      <c r="D27" s="32">
        <f>Hinrunde!D34</f>
        <v>0.5486111111111112</v>
      </c>
      <c r="E27" t="s">
        <v>121</v>
      </c>
      <c r="F27" t="str">
        <f>Hinrunde!E34</f>
        <v>WSF Liblar</v>
      </c>
      <c r="G27" t="str">
        <f>Hinrunde!G34</f>
        <v>KSVH Berlin</v>
      </c>
      <c r="H27" t="s">
        <v>45</v>
      </c>
      <c r="I27" t="str">
        <f>Saisondaten!$D$8</f>
        <v>Liblar</v>
      </c>
      <c r="J27" s="33">
        <f>Saisondaten!$C$8</f>
        <v>43597</v>
      </c>
    </row>
    <row r="28" spans="1:10" ht="15">
      <c r="A28">
        <f>Hinrunde!A35</f>
        <v>27</v>
      </c>
      <c r="B28" t="str">
        <f>Hinrunde!B35</f>
        <v>T</v>
      </c>
      <c r="C28">
        <f>Hinrunde!C35</f>
        <v>2</v>
      </c>
      <c r="D28" s="32">
        <f>Hinrunde!D35</f>
        <v>0.576388888888889</v>
      </c>
      <c r="E28" t="s">
        <v>121</v>
      </c>
      <c r="F28" t="str">
        <f>Hinrunde!E35</f>
        <v>PSC Coburg</v>
      </c>
      <c r="G28" t="str">
        <f>Hinrunde!G35</f>
        <v>KCNW Berlin</v>
      </c>
      <c r="H28" t="s">
        <v>45</v>
      </c>
      <c r="I28" t="str">
        <f>Saisondaten!$D$8</f>
        <v>Liblar</v>
      </c>
      <c r="J28" s="33">
        <f>Saisondaten!$C$8</f>
        <v>43597</v>
      </c>
    </row>
    <row r="29" spans="1:10" ht="15">
      <c r="A29">
        <f>Hinrunde!A36</f>
        <v>28</v>
      </c>
      <c r="B29" t="str">
        <f>Hinrunde!B36</f>
        <v>T</v>
      </c>
      <c r="C29">
        <f>Hinrunde!C36</f>
        <v>2</v>
      </c>
      <c r="D29" s="32">
        <f>Hinrunde!D36</f>
        <v>0.6006944444444445</v>
      </c>
      <c r="E29" t="s">
        <v>121</v>
      </c>
      <c r="F29" t="str">
        <f>Hinrunde!E36</f>
        <v>ACC Hamburg</v>
      </c>
      <c r="G29" t="str">
        <f>Hinrunde!G36</f>
        <v>KRM Essen</v>
      </c>
      <c r="H29" t="s">
        <v>45</v>
      </c>
      <c r="I29" t="str">
        <f>Saisondaten!$D$8</f>
        <v>Liblar</v>
      </c>
      <c r="J29" s="33">
        <f>Saisondaten!$C$8</f>
        <v>43597</v>
      </c>
    </row>
    <row r="30" spans="1:10" ht="15">
      <c r="A30">
        <f>Rückrunde!A7</f>
        <v>29</v>
      </c>
      <c r="B30" t="str">
        <f>Rückrunde!B7</f>
        <v>T</v>
      </c>
      <c r="C30">
        <f>Rückrunde!C7</f>
        <v>1</v>
      </c>
      <c r="D30" s="32">
        <f>Rückrunde!D7</f>
        <v>0.3541666666666667</v>
      </c>
      <c r="E30" t="s">
        <v>121</v>
      </c>
      <c r="F30" t="str">
        <f>Rückrunde!E7</f>
        <v>ACC Hamburg</v>
      </c>
      <c r="G30" t="str">
        <f>Rückrunde!G7</f>
        <v>KP Münster</v>
      </c>
      <c r="H30" t="s">
        <v>46</v>
      </c>
      <c r="I30" t="str">
        <f>Saisondaten!$D$9</f>
        <v>Coburg</v>
      </c>
      <c r="J30" s="33">
        <f>Saisondaten!$B$9</f>
        <v>43659</v>
      </c>
    </row>
    <row r="31" spans="1:10" ht="15">
      <c r="A31">
        <f>Rückrunde!A8</f>
        <v>30</v>
      </c>
      <c r="B31" t="str">
        <f>Rückrunde!B8</f>
        <v>T</v>
      </c>
      <c r="C31">
        <f>Rückrunde!C8</f>
        <v>1</v>
      </c>
      <c r="D31" s="32">
        <f>Rückrunde!D8</f>
        <v>0.3819444444444444</v>
      </c>
      <c r="E31" t="s">
        <v>121</v>
      </c>
      <c r="F31" t="str">
        <f>Rückrunde!E8</f>
        <v>KRM Essen</v>
      </c>
      <c r="G31" t="str">
        <f>Rückrunde!G8</f>
        <v>WSF Liblar</v>
      </c>
      <c r="H31" t="s">
        <v>46</v>
      </c>
      <c r="I31" t="str">
        <f>Saisondaten!$D$9</f>
        <v>Coburg</v>
      </c>
      <c r="J31" s="33">
        <f>Saisondaten!$B$9</f>
        <v>43659</v>
      </c>
    </row>
    <row r="32" spans="1:10" ht="15">
      <c r="A32">
        <f>Rückrunde!A9</f>
        <v>31</v>
      </c>
      <c r="B32" t="str">
        <f>Rückrunde!B9</f>
        <v>T</v>
      </c>
      <c r="C32">
        <f>Rückrunde!C9</f>
        <v>1</v>
      </c>
      <c r="D32" s="32">
        <f>Rückrunde!D9</f>
        <v>0.409722222222222</v>
      </c>
      <c r="E32" t="s">
        <v>121</v>
      </c>
      <c r="F32" t="str">
        <f>Rückrunde!E9</f>
        <v>PSC Coburg</v>
      </c>
      <c r="G32" t="str">
        <f>Rückrunde!G9</f>
        <v>KSVH Berlin</v>
      </c>
      <c r="H32" t="s">
        <v>46</v>
      </c>
      <c r="I32" t="str">
        <f>Saisondaten!$D$9</f>
        <v>Coburg</v>
      </c>
      <c r="J32" s="33">
        <f>Saisondaten!$B$9</f>
        <v>43659</v>
      </c>
    </row>
    <row r="33" spans="1:10" ht="15">
      <c r="A33">
        <f>Rückrunde!A10</f>
        <v>32</v>
      </c>
      <c r="B33" t="str">
        <f>Rückrunde!B10</f>
        <v>T</v>
      </c>
      <c r="C33">
        <f>Rückrunde!C10</f>
        <v>1</v>
      </c>
      <c r="D33" s="32">
        <f>Rückrunde!D10</f>
        <v>0.4375</v>
      </c>
      <c r="E33" t="s">
        <v>121</v>
      </c>
      <c r="F33" t="str">
        <f>Rückrunde!E10</f>
        <v>KCNW Berlin</v>
      </c>
      <c r="G33" t="str">
        <f>Rückrunde!G10</f>
        <v>1. MKC Duisburg</v>
      </c>
      <c r="H33" t="s">
        <v>46</v>
      </c>
      <c r="I33" t="str">
        <f>Saisondaten!$D$9</f>
        <v>Coburg</v>
      </c>
      <c r="J33" s="33">
        <f>Saisondaten!$B$9</f>
        <v>43659</v>
      </c>
    </row>
    <row r="34" spans="1:10" ht="15">
      <c r="A34">
        <f>Rückrunde!A11</f>
        <v>33</v>
      </c>
      <c r="B34" t="str">
        <f>Rückrunde!B11</f>
        <v>T</v>
      </c>
      <c r="C34">
        <f>Rückrunde!C11</f>
        <v>1</v>
      </c>
      <c r="D34" s="32">
        <f>Rückrunde!D11</f>
        <v>0.465277777777778</v>
      </c>
      <c r="E34" t="s">
        <v>121</v>
      </c>
      <c r="F34" t="str">
        <f>Rückrunde!E11</f>
        <v>KRM Essen</v>
      </c>
      <c r="G34" t="str">
        <f>Rückrunde!G11</f>
        <v>KP Münster</v>
      </c>
      <c r="H34" t="s">
        <v>46</v>
      </c>
      <c r="I34" t="str">
        <f>Saisondaten!$D$9</f>
        <v>Coburg</v>
      </c>
      <c r="J34" s="33">
        <f>Saisondaten!$B$9</f>
        <v>43659</v>
      </c>
    </row>
    <row r="35" spans="1:10" ht="15">
      <c r="A35">
        <f>Rückrunde!A12</f>
        <v>34</v>
      </c>
      <c r="B35" t="str">
        <f>Rückrunde!B12</f>
        <v>T</v>
      </c>
      <c r="C35">
        <f>Rückrunde!C12</f>
        <v>1</v>
      </c>
      <c r="D35" s="32">
        <f>Rückrunde!D12</f>
        <v>0.493055555555556</v>
      </c>
      <c r="E35" t="s">
        <v>121</v>
      </c>
      <c r="F35" t="str">
        <f>Rückrunde!E12</f>
        <v>WSF Liblar</v>
      </c>
      <c r="G35" t="str">
        <f>Rückrunde!G12</f>
        <v>KSVH Berlin</v>
      </c>
      <c r="H35" t="s">
        <v>46</v>
      </c>
      <c r="I35" t="str">
        <f>Saisondaten!$D$9</f>
        <v>Coburg</v>
      </c>
      <c r="J35" s="33">
        <f>Saisondaten!$B$9</f>
        <v>43659</v>
      </c>
    </row>
    <row r="36" spans="1:10" ht="15">
      <c r="A36">
        <f>Rückrunde!A13</f>
        <v>35</v>
      </c>
      <c r="B36" t="str">
        <f>Rückrunde!B13</f>
        <v>T</v>
      </c>
      <c r="C36">
        <f>Rückrunde!C13</f>
        <v>1</v>
      </c>
      <c r="D36" s="32">
        <f>Rückrunde!D13</f>
        <v>0.520833333333333</v>
      </c>
      <c r="E36" t="s">
        <v>121</v>
      </c>
      <c r="F36" t="str">
        <f>Rückrunde!E13</f>
        <v>ACC Hamburg</v>
      </c>
      <c r="G36" t="str">
        <f>Rückrunde!G13</f>
        <v>KCNW Berlin</v>
      </c>
      <c r="H36" t="s">
        <v>46</v>
      </c>
      <c r="I36" t="str">
        <f>Saisondaten!$D$9</f>
        <v>Coburg</v>
      </c>
      <c r="J36" s="33">
        <f>Saisondaten!$B$9</f>
        <v>43659</v>
      </c>
    </row>
    <row r="37" spans="1:10" ht="15">
      <c r="A37">
        <f>Rückrunde!A14</f>
        <v>36</v>
      </c>
      <c r="B37" t="str">
        <f>Rückrunde!B14</f>
        <v>T</v>
      </c>
      <c r="C37">
        <f>Rückrunde!C14</f>
        <v>1</v>
      </c>
      <c r="D37" s="32">
        <f>Rückrunde!D14</f>
        <v>0.548611111111111</v>
      </c>
      <c r="E37" t="s">
        <v>121</v>
      </c>
      <c r="F37" t="str">
        <f>Rückrunde!E14</f>
        <v>PSC Coburg</v>
      </c>
      <c r="G37" t="str">
        <f>Rückrunde!G14</f>
        <v>1. MKC Duisburg</v>
      </c>
      <c r="H37" t="s">
        <v>46</v>
      </c>
      <c r="I37" t="str">
        <f>Saisondaten!$D$9</f>
        <v>Coburg</v>
      </c>
      <c r="J37" s="33">
        <f>Saisondaten!$B$9</f>
        <v>43659</v>
      </c>
    </row>
    <row r="38" spans="1:10" ht="15">
      <c r="A38">
        <f>Rückrunde!A15</f>
        <v>37</v>
      </c>
      <c r="B38" t="str">
        <f>Rückrunde!B15</f>
        <v>T</v>
      </c>
      <c r="C38">
        <f>Rückrunde!C15</f>
        <v>1</v>
      </c>
      <c r="D38" s="32">
        <f>Rückrunde!D15</f>
        <v>0.576388888888889</v>
      </c>
      <c r="E38" t="s">
        <v>121</v>
      </c>
      <c r="F38" t="str">
        <f>Rückrunde!E15</f>
        <v>KCNW Berlin</v>
      </c>
      <c r="G38" t="str">
        <f>Rückrunde!G15</f>
        <v>WSF Liblar</v>
      </c>
      <c r="H38" t="s">
        <v>46</v>
      </c>
      <c r="I38" t="str">
        <f>Saisondaten!$D$9</f>
        <v>Coburg</v>
      </c>
      <c r="J38" s="33">
        <f>Saisondaten!$B$9</f>
        <v>43659</v>
      </c>
    </row>
    <row r="39" spans="1:10" ht="15">
      <c r="A39">
        <f>Rückrunde!A16</f>
        <v>38</v>
      </c>
      <c r="B39" t="str">
        <f>Rückrunde!B16</f>
        <v>T</v>
      </c>
      <c r="C39">
        <f>Rückrunde!C16</f>
        <v>1</v>
      </c>
      <c r="D39" s="32">
        <f>Rückrunde!D16</f>
        <v>0.604166666666667</v>
      </c>
      <c r="E39" t="s">
        <v>121</v>
      </c>
      <c r="F39" t="str">
        <f>Rückrunde!E16</f>
        <v>PSC Coburg</v>
      </c>
      <c r="G39" t="str">
        <f>Rückrunde!G16</f>
        <v>KP Münster</v>
      </c>
      <c r="H39" t="s">
        <v>46</v>
      </c>
      <c r="I39" t="str">
        <f>Saisondaten!$D$9</f>
        <v>Coburg</v>
      </c>
      <c r="J39" s="33">
        <f>Saisondaten!$B$9</f>
        <v>43659</v>
      </c>
    </row>
    <row r="40" spans="1:10" ht="15">
      <c r="A40">
        <f>Rückrunde!A17</f>
        <v>39</v>
      </c>
      <c r="B40" t="str">
        <f>Rückrunde!B17</f>
        <v>T</v>
      </c>
      <c r="C40">
        <f>Rückrunde!C17</f>
        <v>1</v>
      </c>
      <c r="D40" s="32">
        <f>Rückrunde!D17</f>
        <v>0.631944444444444</v>
      </c>
      <c r="E40" t="s">
        <v>121</v>
      </c>
      <c r="F40" t="str">
        <f>Rückrunde!E17</f>
        <v>ACC Hamburg</v>
      </c>
      <c r="G40" t="str">
        <f>Rückrunde!G17</f>
        <v>KSVH Berlin</v>
      </c>
      <c r="H40" t="s">
        <v>46</v>
      </c>
      <c r="I40" t="str">
        <f>Saisondaten!$D$9</f>
        <v>Coburg</v>
      </c>
      <c r="J40" s="33">
        <f>Saisondaten!$B$9</f>
        <v>43659</v>
      </c>
    </row>
    <row r="41" spans="1:10" ht="15">
      <c r="A41">
        <f>Rückrunde!A18</f>
        <v>40</v>
      </c>
      <c r="B41" t="str">
        <f>Rückrunde!B18</f>
        <v>T</v>
      </c>
      <c r="C41">
        <f>Rückrunde!C18</f>
        <v>1</v>
      </c>
      <c r="D41" s="32">
        <f>Rückrunde!D18</f>
        <v>0.659722222222222</v>
      </c>
      <c r="E41" t="s">
        <v>121</v>
      </c>
      <c r="F41" t="str">
        <f>Rückrunde!E18</f>
        <v>KRM Essen</v>
      </c>
      <c r="G41" t="str">
        <f>Rückrunde!G18</f>
        <v>1. MKC Duisburg</v>
      </c>
      <c r="H41" t="s">
        <v>46</v>
      </c>
      <c r="I41" t="str">
        <f>Saisondaten!$D$9</f>
        <v>Coburg</v>
      </c>
      <c r="J41" s="33">
        <f>Saisondaten!$B$9</f>
        <v>43659</v>
      </c>
    </row>
    <row r="42" spans="1:10" ht="15">
      <c r="A42">
        <f>Rückrunde!A19</f>
        <v>41</v>
      </c>
      <c r="B42" t="str">
        <f>Rückrunde!B19</f>
        <v>T</v>
      </c>
      <c r="C42">
        <f>Rückrunde!C19</f>
        <v>1</v>
      </c>
      <c r="D42" s="32">
        <f>Rückrunde!D19</f>
        <v>0.6875</v>
      </c>
      <c r="E42" t="s">
        <v>121</v>
      </c>
      <c r="F42" t="str">
        <f>Rückrunde!E19</f>
        <v>PSC Coburg</v>
      </c>
      <c r="G42" t="str">
        <f>Rückrunde!G19</f>
        <v>WSF Liblar</v>
      </c>
      <c r="H42" t="s">
        <v>46</v>
      </c>
      <c r="I42" t="str">
        <f>Saisondaten!$D$9</f>
        <v>Coburg</v>
      </c>
      <c r="J42" s="33">
        <f>Saisondaten!$B$9</f>
        <v>43659</v>
      </c>
    </row>
    <row r="43" spans="1:10" ht="15">
      <c r="A43">
        <f>Rückrunde!A20</f>
        <v>42</v>
      </c>
      <c r="B43" t="str">
        <f>Rückrunde!B20</f>
        <v>T</v>
      </c>
      <c r="C43">
        <f>Rückrunde!C20</f>
        <v>1</v>
      </c>
      <c r="D43" s="32">
        <f>Rückrunde!D20</f>
        <v>0.715277777777778</v>
      </c>
      <c r="E43" t="s">
        <v>121</v>
      </c>
      <c r="F43" t="str">
        <f>Rückrunde!E20</f>
        <v>ACC Hamburg</v>
      </c>
      <c r="G43" t="str">
        <f>Rückrunde!G20</f>
        <v>KRM Essen</v>
      </c>
      <c r="H43" t="s">
        <v>46</v>
      </c>
      <c r="I43" t="str">
        <f>Saisondaten!$D$9</f>
        <v>Coburg</v>
      </c>
      <c r="J43" s="33">
        <f>Saisondaten!$B$9</f>
        <v>43659</v>
      </c>
    </row>
    <row r="44" spans="1:10" ht="15">
      <c r="A44">
        <f>Rückrunde!A21</f>
        <v>43</v>
      </c>
      <c r="B44" t="str">
        <f>Rückrunde!B21</f>
        <v>T</v>
      </c>
      <c r="C44">
        <f>Rückrunde!C21</f>
        <v>1</v>
      </c>
      <c r="D44" s="32">
        <f>Rückrunde!D21</f>
        <v>0.743055555555555</v>
      </c>
      <c r="E44" t="s">
        <v>121</v>
      </c>
      <c r="F44" t="str">
        <f>Rückrunde!E21</f>
        <v>KCNW Berlin</v>
      </c>
      <c r="G44" t="str">
        <f>Rückrunde!G21</f>
        <v>KSVH Berlin</v>
      </c>
      <c r="H44" t="s">
        <v>46</v>
      </c>
      <c r="I44" t="str">
        <f>Saisondaten!$D$9</f>
        <v>Coburg</v>
      </c>
      <c r="J44" s="33">
        <f>Saisondaten!$B$9</f>
        <v>43659</v>
      </c>
    </row>
    <row r="45" spans="1:10" ht="15">
      <c r="A45">
        <f>Rückrunde!A22</f>
        <v>44</v>
      </c>
      <c r="B45" t="str">
        <f>Rückrunde!B22</f>
        <v>T</v>
      </c>
      <c r="C45">
        <f>Rückrunde!C22</f>
        <v>1</v>
      </c>
      <c r="D45" s="32">
        <f>Rückrunde!D22</f>
        <v>0.770833333333333</v>
      </c>
      <c r="E45" t="s">
        <v>121</v>
      </c>
      <c r="F45" t="str">
        <f>Rückrunde!E22</f>
        <v>1. MKC Duisburg</v>
      </c>
      <c r="G45" t="str">
        <f>Rückrunde!G22</f>
        <v>KP Münster</v>
      </c>
      <c r="H45" t="s">
        <v>46</v>
      </c>
      <c r="I45" t="str">
        <f>Saisondaten!$D$9</f>
        <v>Coburg</v>
      </c>
      <c r="J45" s="33">
        <f>Saisondaten!$B$9</f>
        <v>43659</v>
      </c>
    </row>
    <row r="46" spans="1:10" ht="15">
      <c r="A46">
        <f>Rückrunde!A25</f>
        <v>45</v>
      </c>
      <c r="B46" t="str">
        <f>Rückrunde!B25</f>
        <v>T</v>
      </c>
      <c r="C46">
        <f>Rückrunde!C25</f>
        <v>1</v>
      </c>
      <c r="D46" s="32">
        <f>Rückrunde!D25</f>
        <v>0.3333333333333333</v>
      </c>
      <c r="E46" t="s">
        <v>121</v>
      </c>
      <c r="F46" t="str">
        <f>Rückrunde!E25</f>
        <v>WSF Liblar</v>
      </c>
      <c r="G46" t="str">
        <f>Rückrunde!G25</f>
        <v>KP Münster</v>
      </c>
      <c r="H46" t="s">
        <v>46</v>
      </c>
      <c r="I46" t="str">
        <f>Saisondaten!$D$9</f>
        <v>Coburg</v>
      </c>
      <c r="J46" s="33">
        <f>Saisondaten!$C$9</f>
        <v>43660</v>
      </c>
    </row>
    <row r="47" spans="1:10" ht="15">
      <c r="A47">
        <f>Rückrunde!A26</f>
        <v>46</v>
      </c>
      <c r="B47" t="str">
        <f>Rückrunde!B26</f>
        <v>T</v>
      </c>
      <c r="C47">
        <f>Rückrunde!C26</f>
        <v>1</v>
      </c>
      <c r="D47" s="32">
        <f>Rückrunde!D26</f>
        <v>0.3611111111111111</v>
      </c>
      <c r="E47" t="s">
        <v>121</v>
      </c>
      <c r="F47" t="str">
        <f>Rückrunde!E26</f>
        <v>PSC Coburg</v>
      </c>
      <c r="G47" t="str">
        <f>Rückrunde!G26</f>
        <v>KCNW Berlin</v>
      </c>
      <c r="H47" t="s">
        <v>46</v>
      </c>
      <c r="I47" t="str">
        <f>Saisondaten!$D$9</f>
        <v>Coburg</v>
      </c>
      <c r="J47" s="33">
        <f>Saisondaten!$C$9</f>
        <v>43660</v>
      </c>
    </row>
    <row r="48" spans="1:10" ht="15">
      <c r="A48">
        <f>Rückrunde!A27</f>
        <v>47</v>
      </c>
      <c r="B48" t="str">
        <f>Rückrunde!B27</f>
        <v>T</v>
      </c>
      <c r="C48">
        <f>Rückrunde!C27</f>
        <v>1</v>
      </c>
      <c r="D48" s="32">
        <f>Rückrunde!D27</f>
        <v>0.388888888888889</v>
      </c>
      <c r="E48" t="s">
        <v>121</v>
      </c>
      <c r="F48" t="str">
        <f>Rückrunde!E27</f>
        <v>KRM Essen</v>
      </c>
      <c r="G48" t="str">
        <f>Rückrunde!G27</f>
        <v>KSVH Berlin</v>
      </c>
      <c r="H48" t="s">
        <v>46</v>
      </c>
      <c r="I48" t="str">
        <f>Saisondaten!$D$9</f>
        <v>Coburg</v>
      </c>
      <c r="J48" s="33">
        <f>Saisondaten!$C$9</f>
        <v>43660</v>
      </c>
    </row>
    <row r="49" spans="1:10" ht="15">
      <c r="A49">
        <f>Rückrunde!A28</f>
        <v>48</v>
      </c>
      <c r="B49" t="str">
        <f>Rückrunde!B28</f>
        <v>T</v>
      </c>
      <c r="C49">
        <f>Rückrunde!C28</f>
        <v>1</v>
      </c>
      <c r="D49" s="32">
        <f>Rückrunde!D28</f>
        <v>0.4166666666666667</v>
      </c>
      <c r="E49" t="s">
        <v>121</v>
      </c>
      <c r="F49" t="str">
        <f>Rückrunde!E28</f>
        <v>ACC Hamburg</v>
      </c>
      <c r="G49" t="str">
        <f>Rückrunde!G28</f>
        <v>1. MKC Duisburg</v>
      </c>
      <c r="H49" t="s">
        <v>46</v>
      </c>
      <c r="I49" t="str">
        <f>Saisondaten!$D$9</f>
        <v>Coburg</v>
      </c>
      <c r="J49" s="33">
        <f>Saisondaten!$C$9</f>
        <v>43660</v>
      </c>
    </row>
    <row r="50" spans="1:10" ht="15">
      <c r="A50">
        <f>Rückrunde!A29</f>
        <v>49</v>
      </c>
      <c r="B50" t="str">
        <f>Rückrunde!B29</f>
        <v>T</v>
      </c>
      <c r="C50">
        <f>Rückrunde!C29</f>
        <v>1</v>
      </c>
      <c r="D50" s="32">
        <f>Rückrunde!D29</f>
        <v>0.44097222222222227</v>
      </c>
      <c r="E50" t="s">
        <v>121</v>
      </c>
      <c r="F50" t="str">
        <f>Rückrunde!E29</f>
        <v>KCNW Berlin</v>
      </c>
      <c r="G50" t="str">
        <f>Rückrunde!G29</f>
        <v>KP Münster</v>
      </c>
      <c r="H50" t="s">
        <v>46</v>
      </c>
      <c r="I50" t="str">
        <f>Saisondaten!$D$9</f>
        <v>Coburg</v>
      </c>
      <c r="J50" s="33">
        <f>Saisondaten!$C$9</f>
        <v>43660</v>
      </c>
    </row>
    <row r="51" spans="1:10" ht="15">
      <c r="A51">
        <f>Rückrunde!A30</f>
        <v>50</v>
      </c>
      <c r="B51" t="str">
        <f>Rückrunde!B30</f>
        <v>T</v>
      </c>
      <c r="C51">
        <f>Rückrunde!C30</f>
        <v>1</v>
      </c>
      <c r="D51" s="32">
        <f>Rückrunde!D30</f>
        <v>0.46527777777777773</v>
      </c>
      <c r="E51" t="s">
        <v>121</v>
      </c>
      <c r="F51" t="str">
        <f>Rückrunde!E30</f>
        <v>1. MKC Duisburg</v>
      </c>
      <c r="G51" t="str">
        <f>Rückrunde!G30</f>
        <v>KSVH Berlin</v>
      </c>
      <c r="H51" t="s">
        <v>46</v>
      </c>
      <c r="I51" t="str">
        <f>Saisondaten!$D$9</f>
        <v>Coburg</v>
      </c>
      <c r="J51" s="33">
        <f>Saisondaten!$C$9</f>
        <v>43660</v>
      </c>
    </row>
    <row r="52" spans="1:10" ht="15">
      <c r="A52">
        <f>Rückrunde!A31</f>
        <v>51</v>
      </c>
      <c r="B52" t="str">
        <f>Rückrunde!B31</f>
        <v>T</v>
      </c>
      <c r="C52">
        <f>Rückrunde!C31</f>
        <v>1</v>
      </c>
      <c r="D52" s="32">
        <f>Rückrunde!D31</f>
        <v>0.489583333333333</v>
      </c>
      <c r="E52" t="s">
        <v>121</v>
      </c>
      <c r="F52" t="str">
        <f>Rückrunde!E31</f>
        <v>PSC Coburg</v>
      </c>
      <c r="G52" t="str">
        <f>Rückrunde!G31</f>
        <v>KRM Essen</v>
      </c>
      <c r="H52" t="s">
        <v>46</v>
      </c>
      <c r="I52" t="str">
        <f>Saisondaten!$D$9</f>
        <v>Coburg</v>
      </c>
      <c r="J52" s="33">
        <f>Saisondaten!$C$9</f>
        <v>43660</v>
      </c>
    </row>
    <row r="53" spans="1:10" ht="15">
      <c r="A53">
        <f>Rückrunde!A32</f>
        <v>52</v>
      </c>
      <c r="B53" t="str">
        <f>Rückrunde!B32</f>
        <v>T</v>
      </c>
      <c r="C53">
        <f>Rückrunde!C32</f>
        <v>1</v>
      </c>
      <c r="D53" s="32">
        <f>Rückrunde!D32</f>
        <v>0.513888888888889</v>
      </c>
      <c r="E53" t="s">
        <v>121</v>
      </c>
      <c r="F53" t="str">
        <f>Rückrunde!E32</f>
        <v>ACC Hamburg</v>
      </c>
      <c r="G53" t="str">
        <f>Rückrunde!G32</f>
        <v>WSF Liblar</v>
      </c>
      <c r="H53" t="s">
        <v>46</v>
      </c>
      <c r="I53" t="str">
        <f>Saisondaten!$D$9</f>
        <v>Coburg</v>
      </c>
      <c r="J53" s="33">
        <f>Saisondaten!$C$9</f>
        <v>43660</v>
      </c>
    </row>
    <row r="54" spans="1:10" ht="15">
      <c r="A54">
        <f>Rückrunde!A33</f>
        <v>53</v>
      </c>
      <c r="B54" t="str">
        <f>Rückrunde!B33</f>
        <v>T</v>
      </c>
      <c r="C54">
        <f>Rückrunde!C33</f>
        <v>1</v>
      </c>
      <c r="D54" s="32">
        <f>Rückrunde!D33</f>
        <v>0.538194444444444</v>
      </c>
      <c r="E54" t="s">
        <v>121</v>
      </c>
      <c r="F54" t="str">
        <f>Rückrunde!E33</f>
        <v>KSVH Berlin</v>
      </c>
      <c r="G54" t="str">
        <f>Rückrunde!G33</f>
        <v>KP Münster</v>
      </c>
      <c r="H54" t="s">
        <v>46</v>
      </c>
      <c r="I54" t="str">
        <f>Saisondaten!$D$9</f>
        <v>Coburg</v>
      </c>
      <c r="J54" s="33">
        <f>Saisondaten!$C$9</f>
        <v>43660</v>
      </c>
    </row>
    <row r="55" spans="1:10" ht="15">
      <c r="A55">
        <f>Rückrunde!A34</f>
        <v>54</v>
      </c>
      <c r="B55" t="str">
        <f>Rückrunde!B34</f>
        <v>T</v>
      </c>
      <c r="C55">
        <f>Rückrunde!C34</f>
        <v>1</v>
      </c>
      <c r="D55" s="32">
        <f>Rückrunde!D34</f>
        <v>0.562499999999999</v>
      </c>
      <c r="E55" t="s">
        <v>121</v>
      </c>
      <c r="F55" t="str">
        <f>Rückrunde!E34</f>
        <v>1. MKC Duisburg</v>
      </c>
      <c r="G55" t="str">
        <f>Rückrunde!G34</f>
        <v>WSF Liblar</v>
      </c>
      <c r="H55" t="s">
        <v>46</v>
      </c>
      <c r="I55" t="str">
        <f>Saisondaten!$D$9</f>
        <v>Coburg</v>
      </c>
      <c r="J55" s="33">
        <f>Saisondaten!$C$9</f>
        <v>43660</v>
      </c>
    </row>
    <row r="56" spans="1:10" ht="15">
      <c r="A56">
        <f>Rückrunde!A35</f>
        <v>55</v>
      </c>
      <c r="B56" t="str">
        <f>Rückrunde!B35</f>
        <v>T</v>
      </c>
      <c r="C56">
        <f>Rückrunde!C35</f>
        <v>1</v>
      </c>
      <c r="D56" s="32">
        <f>Rückrunde!D35</f>
        <v>0.586805555555555</v>
      </c>
      <c r="E56" t="s">
        <v>121</v>
      </c>
      <c r="F56" t="str">
        <f>Rückrunde!E35</f>
        <v>KRM Essen</v>
      </c>
      <c r="G56" t="str">
        <f>Rückrunde!G35</f>
        <v>KCNW Berlin</v>
      </c>
      <c r="H56" t="s">
        <v>46</v>
      </c>
      <c r="I56" t="str">
        <f>Saisondaten!$D$9</f>
        <v>Coburg</v>
      </c>
      <c r="J56" s="33">
        <f>Saisondaten!$C$9</f>
        <v>43660</v>
      </c>
    </row>
    <row r="57" spans="1:10" ht="15">
      <c r="A57">
        <f>Rückrunde!A36</f>
        <v>56</v>
      </c>
      <c r="B57" t="str">
        <f>Rückrunde!B36</f>
        <v>T</v>
      </c>
      <c r="C57">
        <f>Rückrunde!C36</f>
        <v>1</v>
      </c>
      <c r="D57" s="32">
        <f>Rückrunde!D36</f>
        <v>0.61111111111111</v>
      </c>
      <c r="E57" t="s">
        <v>121</v>
      </c>
      <c r="F57" t="str">
        <f>Rückrunde!E36</f>
        <v>ACC Hamburg</v>
      </c>
      <c r="G57" t="str">
        <f>Rückrunde!G36</f>
        <v>PSC Coburg</v>
      </c>
      <c r="H57" t="s">
        <v>46</v>
      </c>
      <c r="I57" t="str">
        <f>Saisondaten!$D$9</f>
        <v>Coburg</v>
      </c>
      <c r="J57" s="33">
        <f>Saisondaten!$C$9</f>
        <v>43660</v>
      </c>
    </row>
    <row r="58" spans="4:10" ht="15">
      <c r="D58" s="32"/>
      <c r="J58" s="33"/>
    </row>
    <row r="59" spans="4:10" ht="15">
      <c r="D59" s="32"/>
      <c r="J59" s="33"/>
    </row>
    <row r="60" spans="4:10" ht="15">
      <c r="D60" s="32"/>
      <c r="J60" s="33"/>
    </row>
  </sheetData>
  <sheetProtection sheet="1" select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F65"/>
  <sheetViews>
    <sheetView zoomScalePageLayoutView="0" workbookViewId="0" topLeftCell="A1">
      <selection activeCell="F2" sqref="F2"/>
    </sheetView>
  </sheetViews>
  <sheetFormatPr defaultColWidth="11.421875" defaultRowHeight="15"/>
  <cols>
    <col min="1" max="1" width="11.421875" style="18" customWidth="1"/>
    <col min="2" max="2" width="8.8515625" style="18" bestFit="1" customWidth="1"/>
    <col min="3" max="3" width="5.28125" style="18" bestFit="1" customWidth="1"/>
    <col min="4" max="4" width="15.28125" style="18" bestFit="1" customWidth="1"/>
    <col min="5" max="5" width="7.8515625" style="18" bestFit="1" customWidth="1"/>
    <col min="6" max="6" width="3.140625" style="18" bestFit="1" customWidth="1"/>
    <col min="7" max="7" width="3.00390625" style="18" bestFit="1" customWidth="1"/>
    <col min="8" max="8" width="3.140625" style="18" bestFit="1" customWidth="1"/>
    <col min="9" max="10" width="4.140625" style="18" bestFit="1" customWidth="1"/>
    <col min="11" max="11" width="11.421875" style="18" customWidth="1"/>
    <col min="12" max="13" width="2.28125" style="18" bestFit="1" customWidth="1"/>
    <col min="14" max="14" width="10.7109375" style="18" bestFit="1" customWidth="1"/>
    <col min="15" max="15" width="18.140625" style="18" bestFit="1" customWidth="1"/>
    <col min="16" max="16" width="10.7109375" style="18" bestFit="1" customWidth="1"/>
    <col min="17" max="17" width="10.28125" style="18" bestFit="1" customWidth="1"/>
    <col min="18" max="18" width="10.7109375" style="18" bestFit="1" customWidth="1"/>
    <col min="19" max="19" width="10.28125" style="18" bestFit="1" customWidth="1"/>
    <col min="20" max="21" width="4.7109375" style="18" bestFit="1" customWidth="1"/>
    <col min="22" max="22" width="3.57421875" style="18" bestFit="1" customWidth="1"/>
    <col min="23" max="23" width="12.8515625" style="18" bestFit="1" customWidth="1"/>
    <col min="24" max="24" width="3.57421875" style="18" bestFit="1" customWidth="1"/>
    <col min="25" max="25" width="2.28125" style="18" bestFit="1" customWidth="1"/>
    <col min="26" max="26" width="12.8515625" style="18" bestFit="1" customWidth="1"/>
    <col min="27" max="27" width="3.57421875" style="18" bestFit="1" customWidth="1"/>
    <col min="28" max="28" width="2.28125" style="18" bestFit="1" customWidth="1"/>
    <col min="29" max="29" width="12.8515625" style="18" bestFit="1" customWidth="1"/>
    <col min="30" max="30" width="3.57421875" style="18" bestFit="1" customWidth="1"/>
    <col min="31" max="31" width="2.28125" style="18" bestFit="1" customWidth="1"/>
    <col min="32" max="32" width="12.8515625" style="18" bestFit="1" customWidth="1"/>
    <col min="33" max="33" width="3.57421875" style="18" bestFit="1" customWidth="1"/>
    <col min="34" max="34" width="2.28125" style="18" bestFit="1" customWidth="1"/>
    <col min="35" max="35" width="12.8515625" style="18" bestFit="1" customWidth="1"/>
    <col min="36" max="36" width="3.57421875" style="18" bestFit="1" customWidth="1"/>
    <col min="37" max="37" width="2.28125" style="18" bestFit="1" customWidth="1"/>
    <col min="38" max="38" width="12.8515625" style="18" bestFit="1" customWidth="1"/>
    <col min="39" max="39" width="3.57421875" style="18" bestFit="1" customWidth="1"/>
    <col min="40" max="40" width="2.28125" style="18" bestFit="1" customWidth="1"/>
    <col min="41" max="41" width="12.8515625" style="18" bestFit="1" customWidth="1"/>
    <col min="42" max="42" width="3.57421875" style="18" bestFit="1" customWidth="1"/>
    <col min="43" max="43" width="2.28125" style="18" bestFit="1" customWidth="1"/>
    <col min="44" max="44" width="12.8515625" style="18" bestFit="1" customWidth="1"/>
    <col min="45" max="45" width="3.57421875" style="18" bestFit="1" customWidth="1"/>
    <col min="46" max="46" width="2.28125" style="18" bestFit="1" customWidth="1"/>
    <col min="47" max="47" width="12.8515625" style="18" bestFit="1" customWidth="1"/>
    <col min="48" max="48" width="3.57421875" style="18" bestFit="1" customWidth="1"/>
    <col min="49" max="49" width="2.28125" style="18" bestFit="1" customWidth="1"/>
    <col min="50" max="50" width="12.8515625" style="18" bestFit="1" customWidth="1"/>
    <col min="51" max="51" width="3.57421875" style="18" bestFit="1" customWidth="1"/>
    <col min="52" max="52" width="2.28125" style="18" bestFit="1" customWidth="1"/>
    <col min="53" max="53" width="12.8515625" style="18" bestFit="1" customWidth="1"/>
    <col min="54" max="54" width="3.57421875" style="18" bestFit="1" customWidth="1"/>
    <col min="55" max="55" width="2.28125" style="18" bestFit="1" customWidth="1"/>
    <col min="56" max="56" width="12.8515625" style="18" bestFit="1" customWidth="1"/>
    <col min="57" max="57" width="3.57421875" style="18" bestFit="1" customWidth="1"/>
    <col min="58" max="16384" width="11.421875" style="18" customWidth="1"/>
  </cols>
  <sheetData>
    <row r="1" spans="4:10" ht="16.5">
      <c r="D1" s="18">
        <v>2</v>
      </c>
      <c r="E1" s="18">
        <v>3</v>
      </c>
      <c r="F1" s="18">
        <v>4</v>
      </c>
      <c r="G1" s="18">
        <v>5</v>
      </c>
      <c r="H1" s="18">
        <v>6</v>
      </c>
      <c r="I1" s="18">
        <v>7</v>
      </c>
      <c r="J1" s="18">
        <v>8</v>
      </c>
    </row>
    <row r="2" spans="1:10" ht="16.5">
      <c r="A2" s="18" t="s">
        <v>14</v>
      </c>
      <c r="B2" s="18" t="s">
        <v>13</v>
      </c>
      <c r="C2" s="18" t="s">
        <v>52</v>
      </c>
      <c r="D2" s="18" t="s">
        <v>30</v>
      </c>
      <c r="E2" s="18" t="s">
        <v>6</v>
      </c>
      <c r="F2" s="18" t="s">
        <v>39</v>
      </c>
      <c r="G2" s="18" t="s">
        <v>32</v>
      </c>
      <c r="H2" s="18" t="s">
        <v>38</v>
      </c>
      <c r="I2" s="18" t="s">
        <v>35</v>
      </c>
      <c r="J2" s="18" t="s">
        <v>16</v>
      </c>
    </row>
    <row r="3" spans="1:10" ht="16.5">
      <c r="A3" s="18" t="s">
        <v>45</v>
      </c>
      <c r="B3" s="18">
        <v>1</v>
      </c>
      <c r="C3" s="18">
        <v>1</v>
      </c>
      <c r="D3" s="18" t="str">
        <f>VLOOKUP($C3,$N$6:$U$13,D$1,FALSE)</f>
        <v>ACC Hamburg</v>
      </c>
      <c r="E3" s="18" t="str">
        <f aca="true" t="shared" si="0" ref="E3:J10">VLOOKUP($C3,$N$6:$U$13,E$1,FALSE)</f>
        <v>Damen</v>
      </c>
      <c r="F3" s="18">
        <f t="shared" si="0"/>
        <v>5</v>
      </c>
      <c r="G3" s="18">
        <f t="shared" si="0"/>
        <v>1</v>
      </c>
      <c r="H3" s="18">
        <f t="shared" si="0"/>
        <v>1</v>
      </c>
      <c r="I3" s="18">
        <f t="shared" si="0"/>
        <v>45</v>
      </c>
      <c r="J3" s="18">
        <f t="shared" si="0"/>
        <v>15</v>
      </c>
    </row>
    <row r="4" spans="1:21" ht="16.5">
      <c r="A4" s="18" t="s">
        <v>45</v>
      </c>
      <c r="B4" s="18">
        <v>2</v>
      </c>
      <c r="C4" s="18">
        <v>2</v>
      </c>
      <c r="D4" s="18" t="str">
        <f aca="true" t="shared" si="1" ref="D4:D10">VLOOKUP($C4,$N$6:$U$13,D$1,FALSE)</f>
        <v>PSC Coburg</v>
      </c>
      <c r="E4" s="18" t="str">
        <f t="shared" si="0"/>
        <v>Damen</v>
      </c>
      <c r="F4" s="18">
        <f t="shared" si="0"/>
        <v>5</v>
      </c>
      <c r="G4" s="18">
        <f t="shared" si="0"/>
        <v>1</v>
      </c>
      <c r="H4" s="18">
        <f t="shared" si="0"/>
        <v>1</v>
      </c>
      <c r="I4" s="18">
        <f t="shared" si="0"/>
        <v>37</v>
      </c>
      <c r="J4" s="18">
        <f t="shared" si="0"/>
        <v>22</v>
      </c>
      <c r="N4" s="18" t="s">
        <v>45</v>
      </c>
      <c r="Q4" s="18">
        <v>3</v>
      </c>
      <c r="R4" s="18">
        <v>4</v>
      </c>
      <c r="S4" s="18">
        <v>5</v>
      </c>
      <c r="T4" s="18">
        <v>6</v>
      </c>
      <c r="U4" s="18">
        <v>7</v>
      </c>
    </row>
    <row r="5" spans="1:57" ht="16.5">
      <c r="A5" s="18" t="s">
        <v>45</v>
      </c>
      <c r="B5" s="18">
        <v>3</v>
      </c>
      <c r="C5" s="18">
        <v>3</v>
      </c>
      <c r="D5" s="18" t="str">
        <f t="shared" si="1"/>
        <v>KRM Essen</v>
      </c>
      <c r="E5" s="18" t="str">
        <f t="shared" si="0"/>
        <v>Damen</v>
      </c>
      <c r="F5" s="18">
        <f t="shared" si="0"/>
        <v>5</v>
      </c>
      <c r="G5" s="18">
        <f t="shared" si="0"/>
        <v>0</v>
      </c>
      <c r="H5" s="18">
        <f t="shared" si="0"/>
        <v>2</v>
      </c>
      <c r="I5" s="18">
        <f t="shared" si="0"/>
        <v>28</v>
      </c>
      <c r="J5" s="18">
        <f t="shared" si="0"/>
        <v>20</v>
      </c>
      <c r="N5" s="109" t="s">
        <v>52</v>
      </c>
      <c r="O5" s="110" t="s">
        <v>30</v>
      </c>
      <c r="P5" s="109" t="s">
        <v>6</v>
      </c>
      <c r="Q5" s="109" t="s">
        <v>39</v>
      </c>
      <c r="R5" s="109" t="s">
        <v>32</v>
      </c>
      <c r="S5" s="109" t="s">
        <v>38</v>
      </c>
      <c r="T5" s="109" t="s">
        <v>35</v>
      </c>
      <c r="U5" s="109" t="s">
        <v>16</v>
      </c>
      <c r="V5" s="109" t="s">
        <v>51</v>
      </c>
      <c r="W5" s="245" t="s">
        <v>53</v>
      </c>
      <c r="X5" s="245"/>
      <c r="Y5" s="245"/>
      <c r="Z5" s="245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</row>
    <row r="6" spans="1:57" ht="16.5">
      <c r="A6" s="18" t="s">
        <v>45</v>
      </c>
      <c r="B6" s="18">
        <v>4</v>
      </c>
      <c r="C6" s="18">
        <v>4</v>
      </c>
      <c r="D6" s="18" t="str">
        <f t="shared" si="1"/>
        <v>KCNW Berlin</v>
      </c>
      <c r="E6" s="18" t="str">
        <f t="shared" si="0"/>
        <v>Damen</v>
      </c>
      <c r="F6" s="18">
        <f t="shared" si="0"/>
        <v>4</v>
      </c>
      <c r="G6" s="18">
        <f t="shared" si="0"/>
        <v>2</v>
      </c>
      <c r="H6" s="18">
        <f t="shared" si="0"/>
        <v>1</v>
      </c>
      <c r="I6" s="18">
        <f t="shared" si="0"/>
        <v>24</v>
      </c>
      <c r="J6" s="18">
        <f t="shared" si="0"/>
        <v>13</v>
      </c>
      <c r="M6" s="18">
        <f>RANK(N6,$N$6:$N$13,1)</f>
        <v>1</v>
      </c>
      <c r="N6" s="109">
        <f aca="true" t="shared" si="2" ref="N6:N13">RANK(BD6,$BD$6:$BD$15,0)</f>
        <v>1</v>
      </c>
      <c r="O6" s="109" t="str">
        <f>Saisondaten!B16</f>
        <v>ACC Hamburg</v>
      </c>
      <c r="P6" s="109" t="s">
        <v>121</v>
      </c>
      <c r="Q6" s="109">
        <f>VLOOKUP($O6,Hinrunde!$AD$32:$AJ$39,Q$4,FALSE)</f>
        <v>5</v>
      </c>
      <c r="R6" s="109">
        <f>VLOOKUP($O6,Hinrunde!$AD$32:$AJ$39,R$4,FALSE)</f>
        <v>1</v>
      </c>
      <c r="S6" s="109">
        <f>VLOOKUP($O6,Hinrunde!$AD$32:$AJ$39,S$4,FALSE)</f>
        <v>1</v>
      </c>
      <c r="T6" s="109">
        <f>VLOOKUP($O6,Hinrunde!$AD$32:$AJ$39,T$4,FALSE)</f>
        <v>45</v>
      </c>
      <c r="U6" s="109">
        <f>VLOOKUP($O6,Hinrunde!$AD$32:$AJ$39,U$4,FALSE)</f>
        <v>15</v>
      </c>
      <c r="V6" s="109">
        <f>Q6*3+R6*1</f>
        <v>16</v>
      </c>
      <c r="W6" s="109">
        <f>V6*99999999+(T6-U6)*888888+T6*7777</f>
        <v>1627016589</v>
      </c>
      <c r="X6" s="109">
        <f aca="true" t="shared" si="3" ref="X6:X13">RANK(W6,W$6:W$15,0)</f>
        <v>1</v>
      </c>
      <c r="Y6" s="109">
        <f>IF(COUNTIF(X6:X$6,X6)&gt;1,1,0)</f>
        <v>0</v>
      </c>
      <c r="Z6" s="109">
        <f>Y6+W6</f>
        <v>1627016589</v>
      </c>
      <c r="AA6" s="109">
        <f aca="true" t="shared" si="4" ref="AA6:AA13">RANK(Z6,Z$6:Z$15,0)</f>
        <v>1</v>
      </c>
      <c r="AB6" s="109">
        <f>IF(COUNTIF(AA6:AA$6,AA6)&gt;1,1,0)</f>
        <v>0</v>
      </c>
      <c r="AC6" s="109">
        <f>AB6+Z6</f>
        <v>1627016589</v>
      </c>
      <c r="AD6" s="109">
        <f aca="true" t="shared" si="5" ref="AD6:AD13">RANK(AC6,AC$6:AC$15,0)</f>
        <v>1</v>
      </c>
      <c r="AE6" s="109">
        <f>IF(COUNTIF(AD6:AD$6,AD6)&gt;1,1,0)</f>
        <v>0</v>
      </c>
      <c r="AF6" s="109">
        <f>AE6+AC6</f>
        <v>1627016589</v>
      </c>
      <c r="AG6" s="109">
        <f aca="true" t="shared" si="6" ref="AG6:AG13">RANK(AF6,AF$6:AF$15,0)</f>
        <v>1</v>
      </c>
      <c r="AH6" s="109">
        <f>IF(COUNTIF(AG6:AG$6,AG6)&gt;1,1,0)</f>
        <v>0</v>
      </c>
      <c r="AI6" s="109">
        <f>AH6+AF6</f>
        <v>1627016589</v>
      </c>
      <c r="AJ6" s="109">
        <f aca="true" t="shared" si="7" ref="AJ6:AJ13">RANK(AI6,AI$6:AI$15,0)</f>
        <v>1</v>
      </c>
      <c r="AK6" s="109">
        <f>IF(COUNTIF(AJ6:AJ$6,AJ6)&gt;1,1,0)</f>
        <v>0</v>
      </c>
      <c r="AL6" s="109">
        <f>AK6+AI6</f>
        <v>1627016589</v>
      </c>
      <c r="AM6" s="109">
        <f aca="true" t="shared" si="8" ref="AM6:AM13">RANK(AL6,AL$6:AL$15,0)</f>
        <v>1</v>
      </c>
      <c r="AN6" s="109">
        <f>IF(COUNTIF(AM6:AM$6,AM6)&gt;1,1,0)</f>
        <v>0</v>
      </c>
      <c r="AO6" s="109">
        <f>AN6+AL6</f>
        <v>1627016589</v>
      </c>
      <c r="AP6" s="109">
        <f aca="true" t="shared" si="9" ref="AP6:AP13">RANK(AO6,AO$6:AO$15,0)</f>
        <v>1</v>
      </c>
      <c r="AQ6" s="109">
        <f>IF(COUNTIF(AP6:AP$6,AP6)&gt;1,1,0)</f>
        <v>0</v>
      </c>
      <c r="AR6" s="109">
        <f>AQ6+AO6</f>
        <v>1627016589</v>
      </c>
      <c r="AS6" s="109">
        <f aca="true" t="shared" si="10" ref="AS6:AS13">RANK(AR6,AR$6:AR$15,0)</f>
        <v>1</v>
      </c>
      <c r="AT6" s="109">
        <f>IF(COUNTIF(AS6:AS$6,AS6)&gt;1,1,0)</f>
        <v>0</v>
      </c>
      <c r="AU6" s="109">
        <f>AT6+AR6</f>
        <v>1627016589</v>
      </c>
      <c r="AV6" s="109">
        <f aca="true" t="shared" si="11" ref="AV6:AV13">RANK(AU6,AU$6:AU$15,0)</f>
        <v>1</v>
      </c>
      <c r="AW6" s="109">
        <f>IF(COUNTIF(AV6:AV$6,AV6)&gt;1,1,0)</f>
        <v>0</v>
      </c>
      <c r="AX6" s="109">
        <f>AW6+AU6</f>
        <v>1627016589</v>
      </c>
      <c r="AY6" s="109">
        <f aca="true" t="shared" si="12" ref="AY6:AY13">RANK(AX6,AX$6:AX$15,0)</f>
        <v>1</v>
      </c>
      <c r="AZ6" s="109">
        <f>IF(COUNTIF(AY6:AY$6,AY6)&gt;1,1,0)</f>
        <v>0</v>
      </c>
      <c r="BA6" s="109">
        <f>AZ6+AX6</f>
        <v>1627016589</v>
      </c>
      <c r="BB6" s="109">
        <f aca="true" t="shared" si="13" ref="BB6:BB13">RANK(BA6,BA$6:BA$15,0)</f>
        <v>1</v>
      </c>
      <c r="BC6" s="109">
        <f>IF(COUNTIF(BB6:BB$6,BB6)&gt;1,1,0)</f>
        <v>0</v>
      </c>
      <c r="BD6" s="109">
        <f>BC6+BA6</f>
        <v>1627016589</v>
      </c>
      <c r="BE6" s="109">
        <f aca="true" t="shared" si="14" ref="BE6:BE13">RANK(BD6,BD$6:BD$15,0)</f>
        <v>1</v>
      </c>
    </row>
    <row r="7" spans="1:57" ht="16.5">
      <c r="A7" s="18" t="s">
        <v>45</v>
      </c>
      <c r="B7" s="18">
        <v>5</v>
      </c>
      <c r="C7" s="18">
        <v>5</v>
      </c>
      <c r="D7" s="18" t="str">
        <f t="shared" si="1"/>
        <v>1. MKC Duisburg</v>
      </c>
      <c r="E7" s="18" t="str">
        <f t="shared" si="0"/>
        <v>Damen</v>
      </c>
      <c r="F7" s="18">
        <f t="shared" si="0"/>
        <v>2</v>
      </c>
      <c r="G7" s="18">
        <f t="shared" si="0"/>
        <v>2</v>
      </c>
      <c r="H7" s="18">
        <f t="shared" si="0"/>
        <v>3</v>
      </c>
      <c r="I7" s="18">
        <f t="shared" si="0"/>
        <v>20</v>
      </c>
      <c r="J7" s="18">
        <f t="shared" si="0"/>
        <v>26</v>
      </c>
      <c r="M7" s="18">
        <f aca="true" t="shared" si="15" ref="M7:M13">RANK(N7,$N$6:$N$13,1)</f>
        <v>3</v>
      </c>
      <c r="N7" s="109">
        <f t="shared" si="2"/>
        <v>3</v>
      </c>
      <c r="O7" s="109" t="str">
        <f>Saisondaten!B17</f>
        <v>KRM Essen</v>
      </c>
      <c r="P7" s="109" t="s">
        <v>121</v>
      </c>
      <c r="Q7" s="109">
        <f>VLOOKUP($O7,Hinrunde!$AD$32:$AJ$39,Q$4,FALSE)</f>
        <v>5</v>
      </c>
      <c r="R7" s="109">
        <f>VLOOKUP($O7,Hinrunde!$AD$32:$AJ$39,R$4,FALSE)</f>
        <v>0</v>
      </c>
      <c r="S7" s="109">
        <f>VLOOKUP($O7,Hinrunde!$AD$32:$AJ$39,S$4,FALSE)</f>
        <v>2</v>
      </c>
      <c r="T7" s="109">
        <f>VLOOKUP($O7,Hinrunde!$AD$32:$AJ$39,T$4,FALSE)</f>
        <v>28</v>
      </c>
      <c r="U7" s="109">
        <f>VLOOKUP($O7,Hinrunde!$AD$32:$AJ$39,U$4,FALSE)</f>
        <v>20</v>
      </c>
      <c r="V7" s="109">
        <f aca="true" t="shared" si="16" ref="V7:V13">Q7*3+R7*1</f>
        <v>15</v>
      </c>
      <c r="W7" s="109">
        <f aca="true" t="shared" si="17" ref="W7:W13">V7*99999999+(T7-U7)*888888+T7*7777</f>
        <v>1507328845</v>
      </c>
      <c r="X7" s="109">
        <f t="shared" si="3"/>
        <v>3</v>
      </c>
      <c r="Y7" s="109">
        <f>IF(COUNTIF(X$6:X7,X7)&gt;1,1,0)</f>
        <v>0</v>
      </c>
      <c r="Z7" s="109">
        <f aca="true" t="shared" si="18" ref="Z7:Z13">Y7+W7</f>
        <v>1507328845</v>
      </c>
      <c r="AA7" s="109">
        <f t="shared" si="4"/>
        <v>3</v>
      </c>
      <c r="AB7" s="109">
        <f>IF(COUNTIF(AA$6:AA7,AA7)&gt;1,1,0)</f>
        <v>0</v>
      </c>
      <c r="AC7" s="109">
        <f aca="true" t="shared" si="19" ref="AC7:AC13">AB7+Z7</f>
        <v>1507328845</v>
      </c>
      <c r="AD7" s="109">
        <f t="shared" si="5"/>
        <v>3</v>
      </c>
      <c r="AE7" s="109">
        <f>IF(COUNTIF(AD$6:AD7,AD7)&gt;1,1,0)</f>
        <v>0</v>
      </c>
      <c r="AF7" s="109">
        <f aca="true" t="shared" si="20" ref="AF7:AF13">AE7+AC7</f>
        <v>1507328845</v>
      </c>
      <c r="AG7" s="109">
        <f t="shared" si="6"/>
        <v>3</v>
      </c>
      <c r="AH7" s="109">
        <f>IF(COUNTIF(AG$6:AG7,AG7)&gt;1,1,0)</f>
        <v>0</v>
      </c>
      <c r="AI7" s="109">
        <f aca="true" t="shared" si="21" ref="AI7:AI13">AH7+AF7</f>
        <v>1507328845</v>
      </c>
      <c r="AJ7" s="109">
        <f t="shared" si="7"/>
        <v>3</v>
      </c>
      <c r="AK7" s="109">
        <f>IF(COUNTIF(AJ$6:AJ7,AJ7)&gt;1,1,0)</f>
        <v>0</v>
      </c>
      <c r="AL7" s="109">
        <f aca="true" t="shared" si="22" ref="AL7:AL13">AK7+AI7</f>
        <v>1507328845</v>
      </c>
      <c r="AM7" s="109">
        <f t="shared" si="8"/>
        <v>3</v>
      </c>
      <c r="AN7" s="109">
        <f>IF(COUNTIF(AM$6:AM7,AM7)&gt;1,1,0)</f>
        <v>0</v>
      </c>
      <c r="AO7" s="109">
        <f aca="true" t="shared" si="23" ref="AO7:AO13">AN7+AL7</f>
        <v>1507328845</v>
      </c>
      <c r="AP7" s="109">
        <f t="shared" si="9"/>
        <v>3</v>
      </c>
      <c r="AQ7" s="109">
        <f>IF(COUNTIF(AP$6:AP7,AP7)&gt;1,1,0)</f>
        <v>0</v>
      </c>
      <c r="AR7" s="109">
        <f aca="true" t="shared" si="24" ref="AR7:AR13">AQ7+AO7</f>
        <v>1507328845</v>
      </c>
      <c r="AS7" s="109">
        <f t="shared" si="10"/>
        <v>3</v>
      </c>
      <c r="AT7" s="109">
        <f>IF(COUNTIF(AS$6:AS7,AS7)&gt;1,1,0)</f>
        <v>0</v>
      </c>
      <c r="AU7" s="109">
        <f aca="true" t="shared" si="25" ref="AU7:AU13">AT7+AR7</f>
        <v>1507328845</v>
      </c>
      <c r="AV7" s="109">
        <f t="shared" si="11"/>
        <v>3</v>
      </c>
      <c r="AW7" s="109">
        <f>IF(COUNTIF(AV$6:AV7,AV7)&gt;1,1,0)</f>
        <v>0</v>
      </c>
      <c r="AX7" s="109">
        <f aca="true" t="shared" si="26" ref="AX7:AX13">AW7+AU7</f>
        <v>1507328845</v>
      </c>
      <c r="AY7" s="109">
        <f t="shared" si="12"/>
        <v>3</v>
      </c>
      <c r="AZ7" s="109">
        <f>IF(COUNTIF(AY$6:AY7,AY7)&gt;1,1,0)</f>
        <v>0</v>
      </c>
      <c r="BA7" s="109">
        <f aca="true" t="shared" si="27" ref="BA7:BA13">AZ7+AX7</f>
        <v>1507328845</v>
      </c>
      <c r="BB7" s="109">
        <f t="shared" si="13"/>
        <v>3</v>
      </c>
      <c r="BC7" s="109">
        <f>IF(COUNTIF(BB$6:BB7,BB7)&gt;1,1,0)</f>
        <v>0</v>
      </c>
      <c r="BD7" s="109">
        <f aca="true" t="shared" si="28" ref="BD7:BD13">BC7+BA7</f>
        <v>1507328845</v>
      </c>
      <c r="BE7" s="109">
        <f t="shared" si="14"/>
        <v>3</v>
      </c>
    </row>
    <row r="8" spans="1:57" ht="16.5">
      <c r="A8" s="18" t="s">
        <v>45</v>
      </c>
      <c r="B8" s="18">
        <v>6</v>
      </c>
      <c r="C8" s="18">
        <v>6</v>
      </c>
      <c r="D8" s="18" t="str">
        <f t="shared" si="1"/>
        <v>WSF Liblar</v>
      </c>
      <c r="E8" s="18" t="str">
        <f t="shared" si="0"/>
        <v>Damen</v>
      </c>
      <c r="F8" s="18">
        <f t="shared" si="0"/>
        <v>2</v>
      </c>
      <c r="G8" s="18">
        <f t="shared" si="0"/>
        <v>2</v>
      </c>
      <c r="H8" s="18">
        <f t="shared" si="0"/>
        <v>3</v>
      </c>
      <c r="I8" s="18">
        <f t="shared" si="0"/>
        <v>15</v>
      </c>
      <c r="J8" s="18">
        <f t="shared" si="0"/>
        <v>26</v>
      </c>
      <c r="M8" s="18">
        <f t="shared" si="15"/>
        <v>2</v>
      </c>
      <c r="N8" s="109">
        <f t="shared" si="2"/>
        <v>2</v>
      </c>
      <c r="O8" s="109" t="str">
        <f>Saisondaten!B18</f>
        <v>PSC Coburg</v>
      </c>
      <c r="P8" s="109" t="s">
        <v>121</v>
      </c>
      <c r="Q8" s="109">
        <f>VLOOKUP($O8,Hinrunde!$AD$32:$AJ$39,Q$4,FALSE)</f>
        <v>5</v>
      </c>
      <c r="R8" s="109">
        <f>VLOOKUP($O8,Hinrunde!$AD$32:$AJ$39,R$4,FALSE)</f>
        <v>1</v>
      </c>
      <c r="S8" s="109">
        <f>VLOOKUP($O8,Hinrunde!$AD$32:$AJ$39,S$4,FALSE)</f>
        <v>1</v>
      </c>
      <c r="T8" s="109">
        <f>VLOOKUP($O8,Hinrunde!$AD$32:$AJ$39,T$4,FALSE)</f>
        <v>37</v>
      </c>
      <c r="U8" s="109">
        <f>VLOOKUP($O8,Hinrunde!$AD$32:$AJ$39,U$4,FALSE)</f>
        <v>22</v>
      </c>
      <c r="V8" s="109">
        <f t="shared" si="16"/>
        <v>16</v>
      </c>
      <c r="W8" s="109">
        <f t="shared" si="17"/>
        <v>1613621053</v>
      </c>
      <c r="X8" s="109">
        <f t="shared" si="3"/>
        <v>2</v>
      </c>
      <c r="Y8" s="109">
        <f>IF(COUNTIF(X$6:X8,X8)&gt;1,1,0)</f>
        <v>0</v>
      </c>
      <c r="Z8" s="109">
        <f t="shared" si="18"/>
        <v>1613621053</v>
      </c>
      <c r="AA8" s="109">
        <f t="shared" si="4"/>
        <v>2</v>
      </c>
      <c r="AB8" s="109">
        <f>IF(COUNTIF(AA$6:AA8,AA8)&gt;1,1,0)</f>
        <v>0</v>
      </c>
      <c r="AC8" s="109">
        <f t="shared" si="19"/>
        <v>1613621053</v>
      </c>
      <c r="AD8" s="109">
        <f t="shared" si="5"/>
        <v>2</v>
      </c>
      <c r="AE8" s="109">
        <f>IF(COUNTIF(AD$6:AD8,AD8)&gt;1,1,0)</f>
        <v>0</v>
      </c>
      <c r="AF8" s="109">
        <f t="shared" si="20"/>
        <v>1613621053</v>
      </c>
      <c r="AG8" s="109">
        <f t="shared" si="6"/>
        <v>2</v>
      </c>
      <c r="AH8" s="109">
        <f>IF(COUNTIF(AG$6:AG8,AG8)&gt;1,1,0)</f>
        <v>0</v>
      </c>
      <c r="AI8" s="109">
        <f t="shared" si="21"/>
        <v>1613621053</v>
      </c>
      <c r="AJ8" s="109">
        <f t="shared" si="7"/>
        <v>2</v>
      </c>
      <c r="AK8" s="109">
        <f>IF(COUNTIF(AJ$6:AJ8,AJ8)&gt;1,1,0)</f>
        <v>0</v>
      </c>
      <c r="AL8" s="109">
        <f t="shared" si="22"/>
        <v>1613621053</v>
      </c>
      <c r="AM8" s="109">
        <f t="shared" si="8"/>
        <v>2</v>
      </c>
      <c r="AN8" s="109">
        <f>IF(COUNTIF(AM$6:AM8,AM8)&gt;1,1,0)</f>
        <v>0</v>
      </c>
      <c r="AO8" s="109">
        <f t="shared" si="23"/>
        <v>1613621053</v>
      </c>
      <c r="AP8" s="109">
        <f t="shared" si="9"/>
        <v>2</v>
      </c>
      <c r="AQ8" s="109">
        <f>IF(COUNTIF(AP$6:AP8,AP8)&gt;1,1,0)</f>
        <v>0</v>
      </c>
      <c r="AR8" s="109">
        <f t="shared" si="24"/>
        <v>1613621053</v>
      </c>
      <c r="AS8" s="109">
        <f t="shared" si="10"/>
        <v>2</v>
      </c>
      <c r="AT8" s="109">
        <f>IF(COUNTIF(AS$6:AS8,AS8)&gt;1,1,0)</f>
        <v>0</v>
      </c>
      <c r="AU8" s="109">
        <f t="shared" si="25"/>
        <v>1613621053</v>
      </c>
      <c r="AV8" s="109">
        <f t="shared" si="11"/>
        <v>2</v>
      </c>
      <c r="AW8" s="109">
        <f>IF(COUNTIF(AV$6:AV8,AV8)&gt;1,1,0)</f>
        <v>0</v>
      </c>
      <c r="AX8" s="109">
        <f t="shared" si="26"/>
        <v>1613621053</v>
      </c>
      <c r="AY8" s="109">
        <f t="shared" si="12"/>
        <v>2</v>
      </c>
      <c r="AZ8" s="109">
        <f>IF(COUNTIF(AY$6:AY8,AY8)&gt;1,1,0)</f>
        <v>0</v>
      </c>
      <c r="BA8" s="109">
        <f t="shared" si="27"/>
        <v>1613621053</v>
      </c>
      <c r="BB8" s="109">
        <f t="shared" si="13"/>
        <v>2</v>
      </c>
      <c r="BC8" s="109">
        <f>IF(COUNTIF(BB$6:BB8,BB8)&gt;1,1,0)</f>
        <v>0</v>
      </c>
      <c r="BD8" s="109">
        <f t="shared" si="28"/>
        <v>1613621053</v>
      </c>
      <c r="BE8" s="109">
        <f t="shared" si="14"/>
        <v>2</v>
      </c>
    </row>
    <row r="9" spans="1:57" ht="16.5">
      <c r="A9" s="18" t="s">
        <v>45</v>
      </c>
      <c r="B9" s="18">
        <v>7</v>
      </c>
      <c r="C9" s="18">
        <v>7</v>
      </c>
      <c r="D9" s="18" t="str">
        <f t="shared" si="1"/>
        <v>KSVH Berlin</v>
      </c>
      <c r="E9" s="18" t="str">
        <f t="shared" si="0"/>
        <v>Damen</v>
      </c>
      <c r="F9" s="18">
        <f t="shared" si="0"/>
        <v>1</v>
      </c>
      <c r="G9" s="18">
        <f t="shared" si="0"/>
        <v>0</v>
      </c>
      <c r="H9" s="18">
        <f t="shared" si="0"/>
        <v>6</v>
      </c>
      <c r="I9" s="18">
        <f t="shared" si="0"/>
        <v>14</v>
      </c>
      <c r="J9" s="18">
        <f t="shared" si="0"/>
        <v>28</v>
      </c>
      <c r="M9" s="18">
        <f t="shared" si="15"/>
        <v>4</v>
      </c>
      <c r="N9" s="109">
        <f t="shared" si="2"/>
        <v>4</v>
      </c>
      <c r="O9" s="109" t="str">
        <f>Saisondaten!B19</f>
        <v>KCNW Berlin</v>
      </c>
      <c r="P9" s="109" t="s">
        <v>121</v>
      </c>
      <c r="Q9" s="109">
        <f>VLOOKUP($O9,Hinrunde!$AD$32:$AJ$39,Q$4,FALSE)</f>
        <v>4</v>
      </c>
      <c r="R9" s="109">
        <f>VLOOKUP($O9,Hinrunde!$AD$32:$AJ$39,R$4,FALSE)</f>
        <v>2</v>
      </c>
      <c r="S9" s="109">
        <f>VLOOKUP($O9,Hinrunde!$AD$32:$AJ$39,S$4,FALSE)</f>
        <v>1</v>
      </c>
      <c r="T9" s="109">
        <f>VLOOKUP($O9,Hinrunde!$AD$32:$AJ$39,T$4,FALSE)</f>
        <v>24</v>
      </c>
      <c r="U9" s="109">
        <f>VLOOKUP($O9,Hinrunde!$AD$32:$AJ$39,U$4,FALSE)</f>
        <v>13</v>
      </c>
      <c r="V9" s="109">
        <f t="shared" si="16"/>
        <v>14</v>
      </c>
      <c r="W9" s="109">
        <f t="shared" si="17"/>
        <v>1409964402</v>
      </c>
      <c r="X9" s="109">
        <f t="shared" si="3"/>
        <v>4</v>
      </c>
      <c r="Y9" s="109">
        <f>IF(COUNTIF(X$6:X9,X9)&gt;1,1,0)</f>
        <v>0</v>
      </c>
      <c r="Z9" s="109">
        <f t="shared" si="18"/>
        <v>1409964402</v>
      </c>
      <c r="AA9" s="109">
        <f t="shared" si="4"/>
        <v>4</v>
      </c>
      <c r="AB9" s="109">
        <f>IF(COUNTIF(AA$6:AA9,AA9)&gt;1,1,0)</f>
        <v>0</v>
      </c>
      <c r="AC9" s="109">
        <f t="shared" si="19"/>
        <v>1409964402</v>
      </c>
      <c r="AD9" s="109">
        <f t="shared" si="5"/>
        <v>4</v>
      </c>
      <c r="AE9" s="109">
        <f>IF(COUNTIF(AD$6:AD9,AD9)&gt;1,1,0)</f>
        <v>0</v>
      </c>
      <c r="AF9" s="109">
        <f t="shared" si="20"/>
        <v>1409964402</v>
      </c>
      <c r="AG9" s="109">
        <f t="shared" si="6"/>
        <v>4</v>
      </c>
      <c r="AH9" s="109">
        <f>IF(COUNTIF(AG$6:AG9,AG9)&gt;1,1,0)</f>
        <v>0</v>
      </c>
      <c r="AI9" s="109">
        <f t="shared" si="21"/>
        <v>1409964402</v>
      </c>
      <c r="AJ9" s="109">
        <f t="shared" si="7"/>
        <v>4</v>
      </c>
      <c r="AK9" s="109">
        <f>IF(COUNTIF(AJ$6:AJ9,AJ9)&gt;1,1,0)</f>
        <v>0</v>
      </c>
      <c r="AL9" s="109">
        <f t="shared" si="22"/>
        <v>1409964402</v>
      </c>
      <c r="AM9" s="109">
        <f t="shared" si="8"/>
        <v>4</v>
      </c>
      <c r="AN9" s="109">
        <f>IF(COUNTIF(AM$6:AM9,AM9)&gt;1,1,0)</f>
        <v>0</v>
      </c>
      <c r="AO9" s="109">
        <f t="shared" si="23"/>
        <v>1409964402</v>
      </c>
      <c r="AP9" s="109">
        <f t="shared" si="9"/>
        <v>4</v>
      </c>
      <c r="AQ9" s="109">
        <f>IF(COUNTIF(AP$6:AP9,AP9)&gt;1,1,0)</f>
        <v>0</v>
      </c>
      <c r="AR9" s="109">
        <f t="shared" si="24"/>
        <v>1409964402</v>
      </c>
      <c r="AS9" s="109">
        <f t="shared" si="10"/>
        <v>4</v>
      </c>
      <c r="AT9" s="109">
        <f>IF(COUNTIF(AS$6:AS9,AS9)&gt;1,1,0)</f>
        <v>0</v>
      </c>
      <c r="AU9" s="109">
        <f t="shared" si="25"/>
        <v>1409964402</v>
      </c>
      <c r="AV9" s="109">
        <f t="shared" si="11"/>
        <v>4</v>
      </c>
      <c r="AW9" s="109">
        <f>IF(COUNTIF(AV$6:AV9,AV9)&gt;1,1,0)</f>
        <v>0</v>
      </c>
      <c r="AX9" s="109">
        <f t="shared" si="26"/>
        <v>1409964402</v>
      </c>
      <c r="AY9" s="109">
        <f t="shared" si="12"/>
        <v>4</v>
      </c>
      <c r="AZ9" s="109">
        <f>IF(COUNTIF(AY$6:AY9,AY9)&gt;1,1,0)</f>
        <v>0</v>
      </c>
      <c r="BA9" s="109">
        <f t="shared" si="27"/>
        <v>1409964402</v>
      </c>
      <c r="BB9" s="109">
        <f t="shared" si="13"/>
        <v>4</v>
      </c>
      <c r="BC9" s="109">
        <f>IF(COUNTIF(BB$6:BB9,BB9)&gt;1,1,0)</f>
        <v>0</v>
      </c>
      <c r="BD9" s="109">
        <f t="shared" si="28"/>
        <v>1409964402</v>
      </c>
      <c r="BE9" s="109">
        <f t="shared" si="14"/>
        <v>4</v>
      </c>
    </row>
    <row r="10" spans="1:57" ht="16.5">
      <c r="A10" s="18" t="s">
        <v>45</v>
      </c>
      <c r="B10" s="18">
        <v>8</v>
      </c>
      <c r="C10" s="18">
        <v>8</v>
      </c>
      <c r="D10" s="18" t="str">
        <f t="shared" si="1"/>
        <v>KP Münster</v>
      </c>
      <c r="E10" s="18" t="str">
        <f t="shared" si="0"/>
        <v>Damen</v>
      </c>
      <c r="F10" s="18">
        <f t="shared" si="0"/>
        <v>0</v>
      </c>
      <c r="G10" s="18">
        <f t="shared" si="0"/>
        <v>0</v>
      </c>
      <c r="H10" s="18">
        <f t="shared" si="0"/>
        <v>7</v>
      </c>
      <c r="I10" s="18">
        <f t="shared" si="0"/>
        <v>11</v>
      </c>
      <c r="J10" s="18">
        <f t="shared" si="0"/>
        <v>44</v>
      </c>
      <c r="M10" s="18">
        <f t="shared" si="15"/>
        <v>6</v>
      </c>
      <c r="N10" s="109">
        <f t="shared" si="2"/>
        <v>6</v>
      </c>
      <c r="O10" s="109" t="str">
        <f>Saisondaten!B20</f>
        <v>WSF Liblar</v>
      </c>
      <c r="P10" s="109" t="s">
        <v>121</v>
      </c>
      <c r="Q10" s="109">
        <f>VLOOKUP($O10,Hinrunde!$AD$32:$AJ$39,Q$4,FALSE)</f>
        <v>2</v>
      </c>
      <c r="R10" s="109">
        <f>VLOOKUP($O10,Hinrunde!$AD$32:$AJ$39,R$4,FALSE)</f>
        <v>2</v>
      </c>
      <c r="S10" s="109">
        <f>VLOOKUP($O10,Hinrunde!$AD$32:$AJ$39,S$4,FALSE)</f>
        <v>3</v>
      </c>
      <c r="T10" s="109">
        <f>VLOOKUP($O10,Hinrunde!$AD$32:$AJ$39,T$4,FALSE)</f>
        <v>15</v>
      </c>
      <c r="U10" s="109">
        <f>VLOOKUP($O10,Hinrunde!$AD$32:$AJ$39,U$4,FALSE)</f>
        <v>26</v>
      </c>
      <c r="V10" s="109">
        <f t="shared" si="16"/>
        <v>8</v>
      </c>
      <c r="W10" s="109">
        <f t="shared" si="17"/>
        <v>790338879</v>
      </c>
      <c r="X10" s="109">
        <f t="shared" si="3"/>
        <v>6</v>
      </c>
      <c r="Y10" s="109">
        <f>IF(COUNTIF(X$6:X10,X10)&gt;1,1,0)</f>
        <v>0</v>
      </c>
      <c r="Z10" s="109">
        <f t="shared" si="18"/>
        <v>790338879</v>
      </c>
      <c r="AA10" s="109">
        <f t="shared" si="4"/>
        <v>6</v>
      </c>
      <c r="AB10" s="109">
        <f>IF(COUNTIF(AA$6:AA10,AA10)&gt;1,1,0)</f>
        <v>0</v>
      </c>
      <c r="AC10" s="109">
        <f t="shared" si="19"/>
        <v>790338879</v>
      </c>
      <c r="AD10" s="109">
        <f t="shared" si="5"/>
        <v>6</v>
      </c>
      <c r="AE10" s="109">
        <f>IF(COUNTIF(AD$6:AD10,AD10)&gt;1,1,0)</f>
        <v>0</v>
      </c>
      <c r="AF10" s="109">
        <f t="shared" si="20"/>
        <v>790338879</v>
      </c>
      <c r="AG10" s="109">
        <f t="shared" si="6"/>
        <v>6</v>
      </c>
      <c r="AH10" s="109">
        <f>IF(COUNTIF(AG$6:AG10,AG10)&gt;1,1,0)</f>
        <v>0</v>
      </c>
      <c r="AI10" s="109">
        <f t="shared" si="21"/>
        <v>790338879</v>
      </c>
      <c r="AJ10" s="109">
        <f t="shared" si="7"/>
        <v>6</v>
      </c>
      <c r="AK10" s="109">
        <f>IF(COUNTIF(AJ$6:AJ10,AJ10)&gt;1,1,0)</f>
        <v>0</v>
      </c>
      <c r="AL10" s="109">
        <f t="shared" si="22"/>
        <v>790338879</v>
      </c>
      <c r="AM10" s="109">
        <f t="shared" si="8"/>
        <v>6</v>
      </c>
      <c r="AN10" s="109">
        <f>IF(COUNTIF(AM$6:AM10,AM10)&gt;1,1,0)</f>
        <v>0</v>
      </c>
      <c r="AO10" s="109">
        <f t="shared" si="23"/>
        <v>790338879</v>
      </c>
      <c r="AP10" s="109">
        <f t="shared" si="9"/>
        <v>6</v>
      </c>
      <c r="AQ10" s="109">
        <f>IF(COUNTIF(AP$6:AP10,AP10)&gt;1,1,0)</f>
        <v>0</v>
      </c>
      <c r="AR10" s="109">
        <f t="shared" si="24"/>
        <v>790338879</v>
      </c>
      <c r="AS10" s="109">
        <f t="shared" si="10"/>
        <v>6</v>
      </c>
      <c r="AT10" s="109">
        <f>IF(COUNTIF(AS$6:AS10,AS10)&gt;1,1,0)</f>
        <v>0</v>
      </c>
      <c r="AU10" s="109">
        <f t="shared" si="25"/>
        <v>790338879</v>
      </c>
      <c r="AV10" s="109">
        <f t="shared" si="11"/>
        <v>6</v>
      </c>
      <c r="AW10" s="109">
        <f>IF(COUNTIF(AV$6:AV10,AV10)&gt;1,1,0)</f>
        <v>0</v>
      </c>
      <c r="AX10" s="109">
        <f t="shared" si="26"/>
        <v>790338879</v>
      </c>
      <c r="AY10" s="109">
        <f t="shared" si="12"/>
        <v>6</v>
      </c>
      <c r="AZ10" s="109">
        <f>IF(COUNTIF(AY$6:AY10,AY10)&gt;1,1,0)</f>
        <v>0</v>
      </c>
      <c r="BA10" s="109">
        <f t="shared" si="27"/>
        <v>790338879</v>
      </c>
      <c r="BB10" s="109">
        <f t="shared" si="13"/>
        <v>6</v>
      </c>
      <c r="BC10" s="109">
        <f>IF(COUNTIF(BB$6:BB10,BB10)&gt;1,1,0)</f>
        <v>0</v>
      </c>
      <c r="BD10" s="109">
        <f t="shared" si="28"/>
        <v>790338879</v>
      </c>
      <c r="BE10" s="109">
        <f t="shared" si="14"/>
        <v>6</v>
      </c>
    </row>
    <row r="11" spans="1:57" ht="16.5">
      <c r="A11" s="18" t="s">
        <v>46</v>
      </c>
      <c r="B11" s="18">
        <v>9</v>
      </c>
      <c r="C11" s="18">
        <v>1</v>
      </c>
      <c r="D11" s="18" t="str">
        <f>VLOOKUP($C11,$N$18:$U$25,D$1,FALSE)</f>
        <v>KP Münster</v>
      </c>
      <c r="E11" s="18" t="str">
        <f aca="true" t="shared" si="29" ref="E11:J18">VLOOKUP($C11,$N$18:$U$25,E$1,FALSE)</f>
        <v>Damen</v>
      </c>
      <c r="F11" s="18">
        <f t="shared" si="29"/>
        <v>0</v>
      </c>
      <c r="G11" s="18">
        <f t="shared" si="29"/>
        <v>0</v>
      </c>
      <c r="H11" s="18">
        <f t="shared" si="29"/>
        <v>0</v>
      </c>
      <c r="I11" s="18">
        <f t="shared" si="29"/>
        <v>0</v>
      </c>
      <c r="J11" s="18">
        <f t="shared" si="29"/>
        <v>0</v>
      </c>
      <c r="M11" s="18">
        <f t="shared" si="15"/>
        <v>7</v>
      </c>
      <c r="N11" s="109">
        <f t="shared" si="2"/>
        <v>7</v>
      </c>
      <c r="O11" s="109" t="str">
        <f>Saisondaten!B21</f>
        <v>KSVH Berlin</v>
      </c>
      <c r="P11" s="109" t="s">
        <v>121</v>
      </c>
      <c r="Q11" s="109">
        <f>VLOOKUP($O11,Hinrunde!$AD$32:$AJ$39,Q$4,FALSE)</f>
        <v>1</v>
      </c>
      <c r="R11" s="109">
        <f>VLOOKUP($O11,Hinrunde!$AD$32:$AJ$39,R$4,FALSE)</f>
        <v>0</v>
      </c>
      <c r="S11" s="109">
        <f>VLOOKUP($O11,Hinrunde!$AD$32:$AJ$39,S$4,FALSE)</f>
        <v>6</v>
      </c>
      <c r="T11" s="109">
        <f>VLOOKUP($O11,Hinrunde!$AD$32:$AJ$39,T$4,FALSE)</f>
        <v>14</v>
      </c>
      <c r="U11" s="109">
        <f>VLOOKUP($O11,Hinrunde!$AD$32:$AJ$39,U$4,FALSE)</f>
        <v>28</v>
      </c>
      <c r="V11" s="109">
        <f t="shared" si="16"/>
        <v>3</v>
      </c>
      <c r="W11" s="109">
        <f t="shared" si="17"/>
        <v>287664443</v>
      </c>
      <c r="X11" s="109">
        <f t="shared" si="3"/>
        <v>7</v>
      </c>
      <c r="Y11" s="109">
        <f>IF(COUNTIF(X$6:X11,X11)&gt;1,1,0)</f>
        <v>0</v>
      </c>
      <c r="Z11" s="109">
        <f t="shared" si="18"/>
        <v>287664443</v>
      </c>
      <c r="AA11" s="109">
        <f t="shared" si="4"/>
        <v>7</v>
      </c>
      <c r="AB11" s="109">
        <f>IF(COUNTIF(AA$6:AA11,AA11)&gt;1,1,0)</f>
        <v>0</v>
      </c>
      <c r="AC11" s="109">
        <f t="shared" si="19"/>
        <v>287664443</v>
      </c>
      <c r="AD11" s="109">
        <f t="shared" si="5"/>
        <v>7</v>
      </c>
      <c r="AE11" s="109">
        <f>IF(COUNTIF(AD$6:AD11,AD11)&gt;1,1,0)</f>
        <v>0</v>
      </c>
      <c r="AF11" s="109">
        <f t="shared" si="20"/>
        <v>287664443</v>
      </c>
      <c r="AG11" s="109">
        <f t="shared" si="6"/>
        <v>7</v>
      </c>
      <c r="AH11" s="109">
        <f>IF(COUNTIF(AG$6:AG11,AG11)&gt;1,1,0)</f>
        <v>0</v>
      </c>
      <c r="AI11" s="109">
        <f t="shared" si="21"/>
        <v>287664443</v>
      </c>
      <c r="AJ11" s="109">
        <f t="shared" si="7"/>
        <v>7</v>
      </c>
      <c r="AK11" s="109">
        <f>IF(COUNTIF(AJ$6:AJ11,AJ11)&gt;1,1,0)</f>
        <v>0</v>
      </c>
      <c r="AL11" s="109">
        <f t="shared" si="22"/>
        <v>287664443</v>
      </c>
      <c r="AM11" s="109">
        <f t="shared" si="8"/>
        <v>7</v>
      </c>
      <c r="AN11" s="109">
        <f>IF(COUNTIF(AM$6:AM11,AM11)&gt;1,1,0)</f>
        <v>0</v>
      </c>
      <c r="AO11" s="109">
        <f t="shared" si="23"/>
        <v>287664443</v>
      </c>
      <c r="AP11" s="109">
        <f t="shared" si="9"/>
        <v>7</v>
      </c>
      <c r="AQ11" s="109">
        <f>IF(COUNTIF(AP$6:AP11,AP11)&gt;1,1,0)</f>
        <v>0</v>
      </c>
      <c r="AR11" s="109">
        <f t="shared" si="24"/>
        <v>287664443</v>
      </c>
      <c r="AS11" s="109">
        <f t="shared" si="10"/>
        <v>7</v>
      </c>
      <c r="AT11" s="109">
        <f>IF(COUNTIF(AS$6:AS11,AS11)&gt;1,1,0)</f>
        <v>0</v>
      </c>
      <c r="AU11" s="109">
        <f t="shared" si="25"/>
        <v>287664443</v>
      </c>
      <c r="AV11" s="109">
        <f t="shared" si="11"/>
        <v>7</v>
      </c>
      <c r="AW11" s="109">
        <f>IF(COUNTIF(AV$6:AV11,AV11)&gt;1,1,0)</f>
        <v>0</v>
      </c>
      <c r="AX11" s="109">
        <f t="shared" si="26"/>
        <v>287664443</v>
      </c>
      <c r="AY11" s="109">
        <f t="shared" si="12"/>
        <v>7</v>
      </c>
      <c r="AZ11" s="109">
        <f>IF(COUNTIF(AY$6:AY11,AY11)&gt;1,1,0)</f>
        <v>0</v>
      </c>
      <c r="BA11" s="109">
        <f t="shared" si="27"/>
        <v>287664443</v>
      </c>
      <c r="BB11" s="109">
        <f t="shared" si="13"/>
        <v>7</v>
      </c>
      <c r="BC11" s="109">
        <f>IF(COUNTIF(BB$6:BB11,BB11)&gt;1,1,0)</f>
        <v>0</v>
      </c>
      <c r="BD11" s="109">
        <f t="shared" si="28"/>
        <v>287664443</v>
      </c>
      <c r="BE11" s="109">
        <f t="shared" si="14"/>
        <v>7</v>
      </c>
    </row>
    <row r="12" spans="1:57" ht="16.5">
      <c r="A12" s="18" t="s">
        <v>46</v>
      </c>
      <c r="B12" s="18">
        <v>10</v>
      </c>
      <c r="C12" s="18">
        <v>2</v>
      </c>
      <c r="D12" s="18" t="str">
        <f aca="true" t="shared" si="30" ref="D12:D18">VLOOKUP($C12,$N$18:$U$25,D$1,FALSE)</f>
        <v>1. MKC Duisburg</v>
      </c>
      <c r="E12" s="18" t="str">
        <f t="shared" si="29"/>
        <v>Damen</v>
      </c>
      <c r="F12" s="18">
        <f t="shared" si="29"/>
        <v>0</v>
      </c>
      <c r="G12" s="18">
        <f t="shared" si="29"/>
        <v>0</v>
      </c>
      <c r="H12" s="18">
        <f t="shared" si="29"/>
        <v>0</v>
      </c>
      <c r="I12" s="18">
        <f t="shared" si="29"/>
        <v>0</v>
      </c>
      <c r="J12" s="18">
        <f t="shared" si="29"/>
        <v>0</v>
      </c>
      <c r="M12" s="18">
        <f t="shared" si="15"/>
        <v>5</v>
      </c>
      <c r="N12" s="109">
        <f t="shared" si="2"/>
        <v>5</v>
      </c>
      <c r="O12" s="109" t="str">
        <f>Saisondaten!B22</f>
        <v>1. MKC Duisburg</v>
      </c>
      <c r="P12" s="109" t="s">
        <v>121</v>
      </c>
      <c r="Q12" s="109">
        <f>VLOOKUP($O12,Hinrunde!$AD$32:$AJ$39,Q$4,FALSE)</f>
        <v>2</v>
      </c>
      <c r="R12" s="109">
        <f>VLOOKUP($O12,Hinrunde!$AD$32:$AJ$39,R$4,FALSE)</f>
        <v>2</v>
      </c>
      <c r="S12" s="109">
        <f>VLOOKUP($O12,Hinrunde!$AD$32:$AJ$39,S$4,FALSE)</f>
        <v>3</v>
      </c>
      <c r="T12" s="109">
        <f>VLOOKUP($O12,Hinrunde!$AD$32:$AJ$39,T$4,FALSE)</f>
        <v>20</v>
      </c>
      <c r="U12" s="109">
        <f>VLOOKUP($O12,Hinrunde!$AD$32:$AJ$39,U$4,FALSE)</f>
        <v>26</v>
      </c>
      <c r="V12" s="109">
        <f t="shared" si="16"/>
        <v>8</v>
      </c>
      <c r="W12" s="109">
        <f t="shared" si="17"/>
        <v>794822204</v>
      </c>
      <c r="X12" s="109">
        <f t="shared" si="3"/>
        <v>5</v>
      </c>
      <c r="Y12" s="109">
        <f>IF(COUNTIF(X$6:X12,X12)&gt;1,1,0)</f>
        <v>0</v>
      </c>
      <c r="Z12" s="109">
        <f t="shared" si="18"/>
        <v>794822204</v>
      </c>
      <c r="AA12" s="109">
        <f t="shared" si="4"/>
        <v>5</v>
      </c>
      <c r="AB12" s="109">
        <f>IF(COUNTIF(AA$6:AA12,AA12)&gt;1,1,0)</f>
        <v>0</v>
      </c>
      <c r="AC12" s="109">
        <f t="shared" si="19"/>
        <v>794822204</v>
      </c>
      <c r="AD12" s="109">
        <f t="shared" si="5"/>
        <v>5</v>
      </c>
      <c r="AE12" s="109">
        <f>IF(COUNTIF(AD$6:AD12,AD12)&gt;1,1,0)</f>
        <v>0</v>
      </c>
      <c r="AF12" s="109">
        <f t="shared" si="20"/>
        <v>794822204</v>
      </c>
      <c r="AG12" s="109">
        <f t="shared" si="6"/>
        <v>5</v>
      </c>
      <c r="AH12" s="109">
        <f>IF(COUNTIF(AG$6:AG12,AG12)&gt;1,1,0)</f>
        <v>0</v>
      </c>
      <c r="AI12" s="109">
        <f t="shared" si="21"/>
        <v>794822204</v>
      </c>
      <c r="AJ12" s="109">
        <f t="shared" si="7"/>
        <v>5</v>
      </c>
      <c r="AK12" s="109">
        <f>IF(COUNTIF(AJ$6:AJ12,AJ12)&gt;1,1,0)</f>
        <v>0</v>
      </c>
      <c r="AL12" s="109">
        <f t="shared" si="22"/>
        <v>794822204</v>
      </c>
      <c r="AM12" s="109">
        <f t="shared" si="8"/>
        <v>5</v>
      </c>
      <c r="AN12" s="109">
        <f>IF(COUNTIF(AM$6:AM12,AM12)&gt;1,1,0)</f>
        <v>0</v>
      </c>
      <c r="AO12" s="109">
        <f t="shared" si="23"/>
        <v>794822204</v>
      </c>
      <c r="AP12" s="109">
        <f t="shared" si="9"/>
        <v>5</v>
      </c>
      <c r="AQ12" s="109">
        <f>IF(COUNTIF(AP$6:AP12,AP12)&gt;1,1,0)</f>
        <v>0</v>
      </c>
      <c r="AR12" s="109">
        <f t="shared" si="24"/>
        <v>794822204</v>
      </c>
      <c r="AS12" s="109">
        <f t="shared" si="10"/>
        <v>5</v>
      </c>
      <c r="AT12" s="109">
        <f>IF(COUNTIF(AS$6:AS12,AS12)&gt;1,1,0)</f>
        <v>0</v>
      </c>
      <c r="AU12" s="109">
        <f t="shared" si="25"/>
        <v>794822204</v>
      </c>
      <c r="AV12" s="109">
        <f t="shared" si="11"/>
        <v>5</v>
      </c>
      <c r="AW12" s="109">
        <f>IF(COUNTIF(AV$6:AV12,AV12)&gt;1,1,0)</f>
        <v>0</v>
      </c>
      <c r="AX12" s="109">
        <f t="shared" si="26"/>
        <v>794822204</v>
      </c>
      <c r="AY12" s="109">
        <f t="shared" si="12"/>
        <v>5</v>
      </c>
      <c r="AZ12" s="109">
        <f>IF(COUNTIF(AY$6:AY12,AY12)&gt;1,1,0)</f>
        <v>0</v>
      </c>
      <c r="BA12" s="109">
        <f t="shared" si="27"/>
        <v>794822204</v>
      </c>
      <c r="BB12" s="109">
        <f t="shared" si="13"/>
        <v>5</v>
      </c>
      <c r="BC12" s="109">
        <f>IF(COUNTIF(BB$6:BB12,BB12)&gt;1,1,0)</f>
        <v>0</v>
      </c>
      <c r="BD12" s="109">
        <f t="shared" si="28"/>
        <v>794822204</v>
      </c>
      <c r="BE12" s="109">
        <f t="shared" si="14"/>
        <v>5</v>
      </c>
    </row>
    <row r="13" spans="1:57" ht="16.5">
      <c r="A13" s="18" t="s">
        <v>46</v>
      </c>
      <c r="B13" s="18">
        <v>11</v>
      </c>
      <c r="C13" s="18">
        <v>3</v>
      </c>
      <c r="D13" s="18" t="str">
        <f t="shared" si="30"/>
        <v>KSVH Berlin</v>
      </c>
      <c r="E13" s="18" t="str">
        <f t="shared" si="29"/>
        <v>Damen</v>
      </c>
      <c r="F13" s="18">
        <f t="shared" si="29"/>
        <v>0</v>
      </c>
      <c r="G13" s="18">
        <f t="shared" si="29"/>
        <v>0</v>
      </c>
      <c r="H13" s="18">
        <f t="shared" si="29"/>
        <v>0</v>
      </c>
      <c r="I13" s="18">
        <f t="shared" si="29"/>
        <v>0</v>
      </c>
      <c r="J13" s="18">
        <f t="shared" si="29"/>
        <v>0</v>
      </c>
      <c r="M13" s="18">
        <f t="shared" si="15"/>
        <v>8</v>
      </c>
      <c r="N13" s="109">
        <f t="shared" si="2"/>
        <v>8</v>
      </c>
      <c r="O13" s="109" t="str">
        <f>Saisondaten!B23</f>
        <v>KP Münster</v>
      </c>
      <c r="P13" s="109" t="s">
        <v>121</v>
      </c>
      <c r="Q13" s="109">
        <f>VLOOKUP($O13,Hinrunde!$AD$32:$AJ$39,Q$4,FALSE)</f>
        <v>0</v>
      </c>
      <c r="R13" s="109">
        <f>VLOOKUP($O13,Hinrunde!$AD$32:$AJ$39,R$4,FALSE)</f>
        <v>0</v>
      </c>
      <c r="S13" s="109">
        <f>VLOOKUP($O13,Hinrunde!$AD$32:$AJ$39,S$4,FALSE)</f>
        <v>7</v>
      </c>
      <c r="T13" s="109">
        <f>VLOOKUP($O13,Hinrunde!$AD$32:$AJ$39,T$4,FALSE)</f>
        <v>11</v>
      </c>
      <c r="U13" s="109">
        <f>VLOOKUP($O13,Hinrunde!$AD$32:$AJ$39,U$4,FALSE)</f>
        <v>44</v>
      </c>
      <c r="V13" s="109">
        <f t="shared" si="16"/>
        <v>0</v>
      </c>
      <c r="W13" s="109">
        <f t="shared" si="17"/>
        <v>-29247757</v>
      </c>
      <c r="X13" s="109">
        <f t="shared" si="3"/>
        <v>8</v>
      </c>
      <c r="Y13" s="109">
        <f>IF(COUNTIF(X$6:X13,X13)&gt;1,1,0)</f>
        <v>0</v>
      </c>
      <c r="Z13" s="109">
        <f t="shared" si="18"/>
        <v>-29247757</v>
      </c>
      <c r="AA13" s="109">
        <f t="shared" si="4"/>
        <v>8</v>
      </c>
      <c r="AB13" s="109">
        <f>IF(COUNTIF(AA$6:AA13,AA13)&gt;1,1,0)</f>
        <v>0</v>
      </c>
      <c r="AC13" s="109">
        <f t="shared" si="19"/>
        <v>-29247757</v>
      </c>
      <c r="AD13" s="109">
        <f t="shared" si="5"/>
        <v>8</v>
      </c>
      <c r="AE13" s="109">
        <f>IF(COUNTIF(AD$6:AD13,AD13)&gt;1,1,0)</f>
        <v>0</v>
      </c>
      <c r="AF13" s="109">
        <f t="shared" si="20"/>
        <v>-29247757</v>
      </c>
      <c r="AG13" s="109">
        <f t="shared" si="6"/>
        <v>8</v>
      </c>
      <c r="AH13" s="109">
        <f>IF(COUNTIF(AG$6:AG13,AG13)&gt;1,1,0)</f>
        <v>0</v>
      </c>
      <c r="AI13" s="109">
        <f t="shared" si="21"/>
        <v>-29247757</v>
      </c>
      <c r="AJ13" s="109">
        <f t="shared" si="7"/>
        <v>8</v>
      </c>
      <c r="AK13" s="109">
        <f>IF(COUNTIF(AJ$6:AJ13,AJ13)&gt;1,1,0)</f>
        <v>0</v>
      </c>
      <c r="AL13" s="109">
        <f t="shared" si="22"/>
        <v>-29247757</v>
      </c>
      <c r="AM13" s="109">
        <f t="shared" si="8"/>
        <v>8</v>
      </c>
      <c r="AN13" s="109">
        <f>IF(COUNTIF(AM$6:AM13,AM13)&gt;1,1,0)</f>
        <v>0</v>
      </c>
      <c r="AO13" s="109">
        <f t="shared" si="23"/>
        <v>-29247757</v>
      </c>
      <c r="AP13" s="109">
        <f t="shared" si="9"/>
        <v>8</v>
      </c>
      <c r="AQ13" s="109">
        <f>IF(COUNTIF(AP$6:AP13,AP13)&gt;1,1,0)</f>
        <v>0</v>
      </c>
      <c r="AR13" s="109">
        <f t="shared" si="24"/>
        <v>-29247757</v>
      </c>
      <c r="AS13" s="109">
        <f t="shared" si="10"/>
        <v>8</v>
      </c>
      <c r="AT13" s="109">
        <f>IF(COUNTIF(AS$6:AS13,AS13)&gt;1,1,0)</f>
        <v>0</v>
      </c>
      <c r="AU13" s="109">
        <f t="shared" si="25"/>
        <v>-29247757</v>
      </c>
      <c r="AV13" s="109">
        <f t="shared" si="11"/>
        <v>8</v>
      </c>
      <c r="AW13" s="109">
        <f>IF(COUNTIF(AV$6:AV13,AV13)&gt;1,1,0)</f>
        <v>0</v>
      </c>
      <c r="AX13" s="109">
        <f t="shared" si="26"/>
        <v>-29247757</v>
      </c>
      <c r="AY13" s="109">
        <f t="shared" si="12"/>
        <v>8</v>
      </c>
      <c r="AZ13" s="109">
        <f>IF(COUNTIF(AY$6:AY13,AY13)&gt;1,1,0)</f>
        <v>0</v>
      </c>
      <c r="BA13" s="109">
        <f t="shared" si="27"/>
        <v>-29247757</v>
      </c>
      <c r="BB13" s="109">
        <f t="shared" si="13"/>
        <v>8</v>
      </c>
      <c r="BC13" s="109">
        <f>IF(COUNTIF(BB$6:BB13,BB13)&gt;1,1,0)</f>
        <v>0</v>
      </c>
      <c r="BD13" s="109">
        <f t="shared" si="28"/>
        <v>-29247757</v>
      </c>
      <c r="BE13" s="109">
        <f t="shared" si="14"/>
        <v>8</v>
      </c>
    </row>
    <row r="14" spans="1:57" ht="16.5">
      <c r="A14" s="18" t="s">
        <v>46</v>
      </c>
      <c r="B14" s="18">
        <v>12</v>
      </c>
      <c r="C14" s="18">
        <v>4</v>
      </c>
      <c r="D14" s="18" t="str">
        <f t="shared" si="30"/>
        <v>WSF Liblar</v>
      </c>
      <c r="E14" s="18" t="str">
        <f t="shared" si="29"/>
        <v>Damen</v>
      </c>
      <c r="F14" s="18">
        <f t="shared" si="29"/>
        <v>0</v>
      </c>
      <c r="G14" s="18">
        <f t="shared" si="29"/>
        <v>0</v>
      </c>
      <c r="H14" s="18">
        <f t="shared" si="29"/>
        <v>0</v>
      </c>
      <c r="I14" s="18">
        <f t="shared" si="29"/>
        <v>0</v>
      </c>
      <c r="J14" s="18">
        <f t="shared" si="29"/>
        <v>0</v>
      </c>
      <c r="N14" s="109"/>
      <c r="O14" s="109"/>
      <c r="P14" s="109"/>
      <c r="Q14" s="109">
        <f>SUM(Q6:S13)</f>
        <v>56</v>
      </c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</row>
    <row r="15" spans="1:57" ht="16.5">
      <c r="A15" s="18" t="s">
        <v>46</v>
      </c>
      <c r="B15" s="18">
        <v>13</v>
      </c>
      <c r="C15" s="18">
        <v>5</v>
      </c>
      <c r="D15" s="18" t="str">
        <f t="shared" si="30"/>
        <v>KCNW Berlin</v>
      </c>
      <c r="E15" s="18" t="str">
        <f t="shared" si="29"/>
        <v>Damen</v>
      </c>
      <c r="F15" s="18">
        <f t="shared" si="29"/>
        <v>0</v>
      </c>
      <c r="G15" s="18">
        <f t="shared" si="29"/>
        <v>0</v>
      </c>
      <c r="H15" s="18">
        <f t="shared" si="29"/>
        <v>0</v>
      </c>
      <c r="I15" s="18">
        <f t="shared" si="29"/>
        <v>0</v>
      </c>
      <c r="J15" s="18">
        <f t="shared" si="29"/>
        <v>0</v>
      </c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</row>
    <row r="16" spans="1:14" ht="16.5">
      <c r="A16" s="18" t="s">
        <v>46</v>
      </c>
      <c r="B16" s="18">
        <v>14</v>
      </c>
      <c r="C16" s="18">
        <v>6</v>
      </c>
      <c r="D16" s="18" t="str">
        <f t="shared" si="30"/>
        <v>PSC Coburg</v>
      </c>
      <c r="E16" s="18" t="str">
        <f t="shared" si="29"/>
        <v>Damen</v>
      </c>
      <c r="F16" s="18">
        <f t="shared" si="29"/>
        <v>0</v>
      </c>
      <c r="G16" s="18">
        <f t="shared" si="29"/>
        <v>0</v>
      </c>
      <c r="H16" s="18">
        <f t="shared" si="29"/>
        <v>0</v>
      </c>
      <c r="I16" s="18">
        <f t="shared" si="29"/>
        <v>0</v>
      </c>
      <c r="J16" s="18">
        <f t="shared" si="29"/>
        <v>0</v>
      </c>
      <c r="N16" s="18" t="s">
        <v>46</v>
      </c>
    </row>
    <row r="17" spans="1:57" ht="16.5">
      <c r="A17" s="18" t="s">
        <v>46</v>
      </c>
      <c r="B17" s="18">
        <v>15</v>
      </c>
      <c r="C17" s="18">
        <v>7</v>
      </c>
      <c r="D17" s="18" t="str">
        <f t="shared" si="30"/>
        <v>KRM Essen</v>
      </c>
      <c r="E17" s="18" t="str">
        <f t="shared" si="29"/>
        <v>Damen</v>
      </c>
      <c r="F17" s="18">
        <f t="shared" si="29"/>
        <v>0</v>
      </c>
      <c r="G17" s="18">
        <f t="shared" si="29"/>
        <v>0</v>
      </c>
      <c r="H17" s="18">
        <f t="shared" si="29"/>
        <v>0</v>
      </c>
      <c r="I17" s="18">
        <f t="shared" si="29"/>
        <v>0</v>
      </c>
      <c r="J17" s="18">
        <f t="shared" si="29"/>
        <v>0</v>
      </c>
      <c r="N17" s="109" t="s">
        <v>52</v>
      </c>
      <c r="O17" s="110" t="s">
        <v>30</v>
      </c>
      <c r="P17" s="109" t="s">
        <v>6</v>
      </c>
      <c r="Q17" s="109" t="s">
        <v>39</v>
      </c>
      <c r="R17" s="109" t="s">
        <v>32</v>
      </c>
      <c r="S17" s="109" t="s">
        <v>38</v>
      </c>
      <c r="T17" s="109" t="s">
        <v>35</v>
      </c>
      <c r="U17" s="109" t="s">
        <v>16</v>
      </c>
      <c r="V17" s="109" t="s">
        <v>51</v>
      </c>
      <c r="W17" s="109" t="s">
        <v>53</v>
      </c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</row>
    <row r="18" spans="1:57" ht="16.5">
      <c r="A18" s="18" t="s">
        <v>46</v>
      </c>
      <c r="B18" s="18">
        <v>16</v>
      </c>
      <c r="C18" s="18">
        <v>8</v>
      </c>
      <c r="D18" s="18" t="str">
        <f t="shared" si="30"/>
        <v>ACC Hamburg</v>
      </c>
      <c r="E18" s="18" t="str">
        <f t="shared" si="29"/>
        <v>Damen</v>
      </c>
      <c r="F18" s="18">
        <f t="shared" si="29"/>
        <v>0</v>
      </c>
      <c r="G18" s="18">
        <f t="shared" si="29"/>
        <v>0</v>
      </c>
      <c r="H18" s="18">
        <f t="shared" si="29"/>
        <v>0</v>
      </c>
      <c r="I18" s="18">
        <f t="shared" si="29"/>
        <v>0</v>
      </c>
      <c r="J18" s="18">
        <f t="shared" si="29"/>
        <v>0</v>
      </c>
      <c r="N18" s="109">
        <f aca="true" t="shared" si="31" ref="N18:N25">RANK(BD18,$BD$18:$BD$27,0)</f>
        <v>8</v>
      </c>
      <c r="O18" s="109" t="str">
        <f aca="true" t="shared" si="32" ref="O18:O25">O6</f>
        <v>ACC Hamburg</v>
      </c>
      <c r="P18" s="109" t="s">
        <v>121</v>
      </c>
      <c r="Q18" s="109">
        <f>VLOOKUP($O18,Rückrunde!$AD$32:$AJ$39,Q$4,FALSE)</f>
        <v>0</v>
      </c>
      <c r="R18" s="109">
        <f>VLOOKUP($O18,Rückrunde!$AD$32:$AJ$39,R$4,FALSE)</f>
        <v>0</v>
      </c>
      <c r="S18" s="109">
        <f>VLOOKUP($O18,Rückrunde!$AD$32:$AJ$39,S$4,FALSE)</f>
        <v>0</v>
      </c>
      <c r="T18" s="109">
        <f>VLOOKUP($O18,Rückrunde!$AD$32:$AJ$39,T$4,FALSE)</f>
        <v>0</v>
      </c>
      <c r="U18" s="109">
        <f>VLOOKUP($O18,Rückrunde!$AD$32:$AJ$39,U$4,FALSE)</f>
        <v>0</v>
      </c>
      <c r="V18" s="109">
        <f aca="true" t="shared" si="33" ref="V18:V25">Q18*3+R18*1</f>
        <v>0</v>
      </c>
      <c r="W18" s="109">
        <f aca="true" t="shared" si="34" ref="W18:W25">V18*99999999+(T18-U18)*888888+T18*7777</f>
        <v>0</v>
      </c>
      <c r="X18" s="109">
        <f aca="true" t="shared" si="35" ref="X18:X25">RANK(W18,W$18:W$27,0)</f>
        <v>1</v>
      </c>
      <c r="Y18" s="109">
        <f>IF(COUNTIF(X18:X$18,X18)&gt;1,1,0)</f>
        <v>0</v>
      </c>
      <c r="Z18" s="109">
        <f aca="true" t="shared" si="36" ref="Z18:Z25">Y18+W18</f>
        <v>0</v>
      </c>
      <c r="AA18" s="109">
        <f aca="true" t="shared" si="37" ref="AA18:AA25">RANK(Z18,Z$18:Z$27,0)</f>
        <v>8</v>
      </c>
      <c r="AB18" s="109">
        <f>IF(COUNTIF(AA18:AA$18,AA18)&gt;1,1,0)</f>
        <v>0</v>
      </c>
      <c r="AC18" s="109">
        <f aca="true" t="shared" si="38" ref="AC18:AC25">AB18+Z18</f>
        <v>0</v>
      </c>
      <c r="AD18" s="109">
        <f aca="true" t="shared" si="39" ref="AD18:AD25">RANK(AC18,AC$18:AC$27,0)</f>
        <v>8</v>
      </c>
      <c r="AE18" s="109">
        <f>IF(COUNTIF(AD18:AD$18,AD18)&gt;1,1,0)</f>
        <v>0</v>
      </c>
      <c r="AF18" s="109">
        <f aca="true" t="shared" si="40" ref="AF18:AF25">AE18+AC18</f>
        <v>0</v>
      </c>
      <c r="AG18" s="109">
        <f aca="true" t="shared" si="41" ref="AG18:AG25">RANK(AF18,AF$18:AF$27,0)</f>
        <v>8</v>
      </c>
      <c r="AH18" s="109">
        <f>IF(COUNTIF(AG18:AG$18,AG18)&gt;1,1,0)</f>
        <v>0</v>
      </c>
      <c r="AI18" s="109">
        <f aca="true" t="shared" si="42" ref="AI18:AI25">AH18+AF18</f>
        <v>0</v>
      </c>
      <c r="AJ18" s="109">
        <f aca="true" t="shared" si="43" ref="AJ18:AJ25">RANK(AI18,AI$18:AI$27,0)</f>
        <v>8</v>
      </c>
      <c r="AK18" s="109">
        <f>IF(COUNTIF(AJ18:AJ$18,AJ18)&gt;1,1,0)</f>
        <v>0</v>
      </c>
      <c r="AL18" s="109">
        <f aca="true" t="shared" si="44" ref="AL18:AL25">AK18+AI18</f>
        <v>0</v>
      </c>
      <c r="AM18" s="109">
        <f aca="true" t="shared" si="45" ref="AM18:AM25">RANK(AL18,AL$18:AL$27,0)</f>
        <v>8</v>
      </c>
      <c r="AN18" s="109">
        <f>IF(COUNTIF(AM18:AM$18,AM18)&gt;1,1,0)</f>
        <v>0</v>
      </c>
      <c r="AO18" s="109">
        <f aca="true" t="shared" si="46" ref="AO18:AO25">AN18+AL18</f>
        <v>0</v>
      </c>
      <c r="AP18" s="109">
        <f aca="true" t="shared" si="47" ref="AP18:AP25">RANK(AO18,AO$18:AO$27,0)</f>
        <v>8</v>
      </c>
      <c r="AQ18" s="109">
        <f>IF(COUNTIF(AP18:AP$18,AP18)&gt;1,1,0)</f>
        <v>0</v>
      </c>
      <c r="AR18" s="109">
        <f aca="true" t="shared" si="48" ref="AR18:AR25">AQ18+AO18</f>
        <v>0</v>
      </c>
      <c r="AS18" s="109">
        <f aca="true" t="shared" si="49" ref="AS18:AS25">RANK(AR18,AR$18:AR$27,0)</f>
        <v>8</v>
      </c>
      <c r="AT18" s="109">
        <f>IF(COUNTIF(AS18:AS$18,AS18)&gt;1,1,0)</f>
        <v>0</v>
      </c>
      <c r="AU18" s="109">
        <f aca="true" t="shared" si="50" ref="AU18:AU25">AT18+AR18</f>
        <v>0</v>
      </c>
      <c r="AV18" s="109">
        <f aca="true" t="shared" si="51" ref="AV18:AV25">RANK(AU18,AU$18:AU$27,0)</f>
        <v>8</v>
      </c>
      <c r="AW18" s="109">
        <f>IF(COUNTIF(AV18:AV$18,AV18)&gt;1,1,0)</f>
        <v>0</v>
      </c>
      <c r="AX18" s="109">
        <f aca="true" t="shared" si="52" ref="AX18:AX25">AW18+AU18</f>
        <v>0</v>
      </c>
      <c r="AY18" s="109">
        <f aca="true" t="shared" si="53" ref="AY18:AY25">RANK(AX18,AX$18:AX$27,0)</f>
        <v>8</v>
      </c>
      <c r="AZ18" s="109">
        <f>IF(COUNTIF(AY18:AY$18,AY18)&gt;1,1,0)</f>
        <v>0</v>
      </c>
      <c r="BA18" s="109">
        <f aca="true" t="shared" si="54" ref="BA18:BA25">AZ18+AX18</f>
        <v>0</v>
      </c>
      <c r="BB18" s="109">
        <f aca="true" t="shared" si="55" ref="BB18:BB25">RANK(BA18,BA$18:BA$27,0)</f>
        <v>8</v>
      </c>
      <c r="BC18" s="109">
        <f>IF(COUNTIF(BB18:BB$18,BB18)&gt;1,1,0)</f>
        <v>0</v>
      </c>
      <c r="BD18" s="109">
        <f aca="true" t="shared" si="56" ref="BD18:BD25">BC18+BA18</f>
        <v>0</v>
      </c>
      <c r="BE18" s="109">
        <f aca="true" t="shared" si="57" ref="BE18:BE25">RANK(BD18,BD$18:BD$27,0)</f>
        <v>8</v>
      </c>
    </row>
    <row r="19" spans="1:57" ht="16.5">
      <c r="A19" s="18" t="s">
        <v>54</v>
      </c>
      <c r="B19" s="18">
        <v>17</v>
      </c>
      <c r="C19" s="18">
        <v>1</v>
      </c>
      <c r="D19" s="18" t="str">
        <f aca="true" t="shared" si="58" ref="D19:J26">VLOOKUP($C19,$N$30:$U$40,D$1,FALSE)</f>
        <v>ACC Hamburg</v>
      </c>
      <c r="E19" s="18" t="str">
        <f t="shared" si="58"/>
        <v>Damen</v>
      </c>
      <c r="F19" s="18">
        <f t="shared" si="58"/>
        <v>5</v>
      </c>
      <c r="G19" s="18">
        <f t="shared" si="58"/>
        <v>1</v>
      </c>
      <c r="H19" s="18">
        <f t="shared" si="58"/>
        <v>1</v>
      </c>
      <c r="I19" s="18">
        <f t="shared" si="58"/>
        <v>45</v>
      </c>
      <c r="J19" s="18">
        <f t="shared" si="58"/>
        <v>15</v>
      </c>
      <c r="N19" s="109">
        <f t="shared" si="31"/>
        <v>7</v>
      </c>
      <c r="O19" s="109" t="str">
        <f t="shared" si="32"/>
        <v>KRM Essen</v>
      </c>
      <c r="P19" s="109" t="s">
        <v>121</v>
      </c>
      <c r="Q19" s="109">
        <f>VLOOKUP($O19,Rückrunde!$AD$32:$AJ$39,Q$4,FALSE)</f>
        <v>0</v>
      </c>
      <c r="R19" s="109">
        <f>VLOOKUP($O19,Rückrunde!$AD$32:$AJ$39,R$4,FALSE)</f>
        <v>0</v>
      </c>
      <c r="S19" s="109">
        <f>VLOOKUP($O19,Rückrunde!$AD$32:$AJ$39,S$4,FALSE)</f>
        <v>0</v>
      </c>
      <c r="T19" s="109">
        <f>VLOOKUP($O19,Rückrunde!$AD$32:$AJ$39,T$4,FALSE)</f>
        <v>0</v>
      </c>
      <c r="U19" s="109">
        <f>VLOOKUP($O19,Rückrunde!$AD$32:$AJ$39,U$4,FALSE)</f>
        <v>0</v>
      </c>
      <c r="V19" s="109">
        <f t="shared" si="33"/>
        <v>0</v>
      </c>
      <c r="W19" s="109">
        <f t="shared" si="34"/>
        <v>0</v>
      </c>
      <c r="X19" s="109">
        <f t="shared" si="35"/>
        <v>1</v>
      </c>
      <c r="Y19" s="109">
        <f>IF(COUNTIF(X$18:X19,X19)&gt;1,1,0)</f>
        <v>1</v>
      </c>
      <c r="Z19" s="109">
        <f t="shared" si="36"/>
        <v>1</v>
      </c>
      <c r="AA19" s="109">
        <f t="shared" si="37"/>
        <v>1</v>
      </c>
      <c r="AB19" s="109">
        <f>IF(COUNTIF(AA$18:AA19,AA19)&gt;1,1,0)</f>
        <v>0</v>
      </c>
      <c r="AC19" s="109">
        <f t="shared" si="38"/>
        <v>1</v>
      </c>
      <c r="AD19" s="109">
        <f t="shared" si="39"/>
        <v>7</v>
      </c>
      <c r="AE19" s="109">
        <f>IF(COUNTIF(AD$18:AD19,AD19)&gt;1,1,0)</f>
        <v>0</v>
      </c>
      <c r="AF19" s="109">
        <f t="shared" si="40"/>
        <v>1</v>
      </c>
      <c r="AG19" s="109">
        <f t="shared" si="41"/>
        <v>7</v>
      </c>
      <c r="AH19" s="109">
        <f>IF(COUNTIF(AG$18:AG19,AG19)&gt;1,1,0)</f>
        <v>0</v>
      </c>
      <c r="AI19" s="109">
        <f t="shared" si="42"/>
        <v>1</v>
      </c>
      <c r="AJ19" s="109">
        <f t="shared" si="43"/>
        <v>7</v>
      </c>
      <c r="AK19" s="109">
        <f>IF(COUNTIF(AJ$18:AJ19,AJ19)&gt;1,1,0)</f>
        <v>0</v>
      </c>
      <c r="AL19" s="109">
        <f t="shared" si="44"/>
        <v>1</v>
      </c>
      <c r="AM19" s="109">
        <f t="shared" si="45"/>
        <v>7</v>
      </c>
      <c r="AN19" s="109">
        <f>IF(COUNTIF(AM$18:AM19,AM19)&gt;1,1,0)</f>
        <v>0</v>
      </c>
      <c r="AO19" s="109">
        <f t="shared" si="46"/>
        <v>1</v>
      </c>
      <c r="AP19" s="109">
        <f t="shared" si="47"/>
        <v>7</v>
      </c>
      <c r="AQ19" s="109">
        <f>IF(COUNTIF(AP$18:AP19,AP19)&gt;1,1,0)</f>
        <v>0</v>
      </c>
      <c r="AR19" s="109">
        <f t="shared" si="48"/>
        <v>1</v>
      </c>
      <c r="AS19" s="109">
        <f t="shared" si="49"/>
        <v>7</v>
      </c>
      <c r="AT19" s="109">
        <f>IF(COUNTIF(AS$18:AS19,AS19)&gt;1,1,0)</f>
        <v>0</v>
      </c>
      <c r="AU19" s="109">
        <f t="shared" si="50"/>
        <v>1</v>
      </c>
      <c r="AV19" s="109">
        <f t="shared" si="51"/>
        <v>7</v>
      </c>
      <c r="AW19" s="109">
        <f>IF(COUNTIF(AV$18:AV19,AV19)&gt;1,1,0)</f>
        <v>0</v>
      </c>
      <c r="AX19" s="109">
        <f t="shared" si="52"/>
        <v>1</v>
      </c>
      <c r="AY19" s="109">
        <f t="shared" si="53"/>
        <v>7</v>
      </c>
      <c r="AZ19" s="109">
        <f>IF(COUNTIF(AY$18:AY19,AY19)&gt;1,1,0)</f>
        <v>0</v>
      </c>
      <c r="BA19" s="109">
        <f t="shared" si="54"/>
        <v>1</v>
      </c>
      <c r="BB19" s="109">
        <f t="shared" si="55"/>
        <v>7</v>
      </c>
      <c r="BC19" s="109">
        <f>IF(COUNTIF(BB$18:BB19,BB19)&gt;1,1,0)</f>
        <v>0</v>
      </c>
      <c r="BD19" s="109">
        <f t="shared" si="56"/>
        <v>1</v>
      </c>
      <c r="BE19" s="109">
        <f t="shared" si="57"/>
        <v>7</v>
      </c>
    </row>
    <row r="20" spans="1:57" ht="16.5">
      <c r="A20" s="18" t="s">
        <v>54</v>
      </c>
      <c r="B20" s="18">
        <v>18</v>
      </c>
      <c r="C20" s="18">
        <v>2</v>
      </c>
      <c r="D20" s="18" t="str">
        <f t="shared" si="58"/>
        <v>PSC Coburg</v>
      </c>
      <c r="E20" s="18" t="str">
        <f t="shared" si="58"/>
        <v>Damen</v>
      </c>
      <c r="F20" s="18">
        <f t="shared" si="58"/>
        <v>5</v>
      </c>
      <c r="G20" s="18">
        <f t="shared" si="58"/>
        <v>1</v>
      </c>
      <c r="H20" s="18">
        <f t="shared" si="58"/>
        <v>1</v>
      </c>
      <c r="I20" s="18">
        <f t="shared" si="58"/>
        <v>37</v>
      </c>
      <c r="J20" s="18">
        <f t="shared" si="58"/>
        <v>22</v>
      </c>
      <c r="N20" s="109">
        <f t="shared" si="31"/>
        <v>6</v>
      </c>
      <c r="O20" s="109" t="str">
        <f t="shared" si="32"/>
        <v>PSC Coburg</v>
      </c>
      <c r="P20" s="109" t="s">
        <v>121</v>
      </c>
      <c r="Q20" s="109">
        <f>VLOOKUP($O20,Rückrunde!$AD$32:$AJ$39,Q$4,FALSE)</f>
        <v>0</v>
      </c>
      <c r="R20" s="109">
        <f>VLOOKUP($O20,Rückrunde!$AD$32:$AJ$39,R$4,FALSE)</f>
        <v>0</v>
      </c>
      <c r="S20" s="109">
        <f>VLOOKUP($O20,Rückrunde!$AD$32:$AJ$39,S$4,FALSE)</f>
        <v>0</v>
      </c>
      <c r="T20" s="109">
        <f>VLOOKUP($O20,Rückrunde!$AD$32:$AJ$39,T$4,FALSE)</f>
        <v>0</v>
      </c>
      <c r="U20" s="109">
        <f>VLOOKUP($O20,Rückrunde!$AD$32:$AJ$39,U$4,FALSE)</f>
        <v>0</v>
      </c>
      <c r="V20" s="109">
        <f t="shared" si="33"/>
        <v>0</v>
      </c>
      <c r="W20" s="109">
        <f t="shared" si="34"/>
        <v>0</v>
      </c>
      <c r="X20" s="109">
        <f t="shared" si="35"/>
        <v>1</v>
      </c>
      <c r="Y20" s="109">
        <f>IF(COUNTIF(X$18:X20,X20)&gt;1,1,0)</f>
        <v>1</v>
      </c>
      <c r="Z20" s="109">
        <f t="shared" si="36"/>
        <v>1</v>
      </c>
      <c r="AA20" s="109">
        <f t="shared" si="37"/>
        <v>1</v>
      </c>
      <c r="AB20" s="109">
        <f>IF(COUNTIF(AA$18:AA20,AA20)&gt;1,1,0)</f>
        <v>1</v>
      </c>
      <c r="AC20" s="109">
        <f t="shared" si="38"/>
        <v>2</v>
      </c>
      <c r="AD20" s="109">
        <f t="shared" si="39"/>
        <v>1</v>
      </c>
      <c r="AE20" s="109">
        <f>IF(COUNTIF(AD$18:AD20,AD20)&gt;1,1,0)</f>
        <v>0</v>
      </c>
      <c r="AF20" s="109">
        <f t="shared" si="40"/>
        <v>2</v>
      </c>
      <c r="AG20" s="109">
        <f t="shared" si="41"/>
        <v>6</v>
      </c>
      <c r="AH20" s="109">
        <f>IF(COUNTIF(AG$18:AG20,AG20)&gt;1,1,0)</f>
        <v>0</v>
      </c>
      <c r="AI20" s="109">
        <f t="shared" si="42"/>
        <v>2</v>
      </c>
      <c r="AJ20" s="109">
        <f t="shared" si="43"/>
        <v>6</v>
      </c>
      <c r="AK20" s="109">
        <f>IF(COUNTIF(AJ$18:AJ20,AJ20)&gt;1,1,0)</f>
        <v>0</v>
      </c>
      <c r="AL20" s="109">
        <f t="shared" si="44"/>
        <v>2</v>
      </c>
      <c r="AM20" s="109">
        <f t="shared" si="45"/>
        <v>6</v>
      </c>
      <c r="AN20" s="109">
        <f>IF(COUNTIF(AM$18:AM20,AM20)&gt;1,1,0)</f>
        <v>0</v>
      </c>
      <c r="AO20" s="109">
        <f t="shared" si="46"/>
        <v>2</v>
      </c>
      <c r="AP20" s="109">
        <f t="shared" si="47"/>
        <v>6</v>
      </c>
      <c r="AQ20" s="109">
        <f>IF(COUNTIF(AP$18:AP20,AP20)&gt;1,1,0)</f>
        <v>0</v>
      </c>
      <c r="AR20" s="109">
        <f t="shared" si="48"/>
        <v>2</v>
      </c>
      <c r="AS20" s="109">
        <f t="shared" si="49"/>
        <v>6</v>
      </c>
      <c r="AT20" s="109">
        <f>IF(COUNTIF(AS$18:AS20,AS20)&gt;1,1,0)</f>
        <v>0</v>
      </c>
      <c r="AU20" s="109">
        <f t="shared" si="50"/>
        <v>2</v>
      </c>
      <c r="AV20" s="109">
        <f t="shared" si="51"/>
        <v>6</v>
      </c>
      <c r="AW20" s="109">
        <f>IF(COUNTIF(AV$18:AV20,AV20)&gt;1,1,0)</f>
        <v>0</v>
      </c>
      <c r="AX20" s="109">
        <f t="shared" si="52"/>
        <v>2</v>
      </c>
      <c r="AY20" s="109">
        <f t="shared" si="53"/>
        <v>6</v>
      </c>
      <c r="AZ20" s="109">
        <f>IF(COUNTIF(AY$18:AY20,AY20)&gt;1,1,0)</f>
        <v>0</v>
      </c>
      <c r="BA20" s="109">
        <f t="shared" si="54"/>
        <v>2</v>
      </c>
      <c r="BB20" s="109">
        <f t="shared" si="55"/>
        <v>6</v>
      </c>
      <c r="BC20" s="109">
        <f>IF(COUNTIF(BB$18:BB20,BB20)&gt;1,1,0)</f>
        <v>0</v>
      </c>
      <c r="BD20" s="109">
        <f t="shared" si="56"/>
        <v>2</v>
      </c>
      <c r="BE20" s="109">
        <f t="shared" si="57"/>
        <v>6</v>
      </c>
    </row>
    <row r="21" spans="1:57" ht="16.5">
      <c r="A21" s="18" t="s">
        <v>54</v>
      </c>
      <c r="B21" s="18">
        <v>19</v>
      </c>
      <c r="C21" s="18">
        <v>3</v>
      </c>
      <c r="D21" s="18" t="str">
        <f t="shared" si="58"/>
        <v>KRM Essen</v>
      </c>
      <c r="E21" s="18" t="str">
        <f t="shared" si="58"/>
        <v>Damen</v>
      </c>
      <c r="F21" s="18">
        <f t="shared" si="58"/>
        <v>5</v>
      </c>
      <c r="G21" s="18">
        <f t="shared" si="58"/>
        <v>0</v>
      </c>
      <c r="H21" s="18">
        <f t="shared" si="58"/>
        <v>2</v>
      </c>
      <c r="I21" s="18">
        <f t="shared" si="58"/>
        <v>28</v>
      </c>
      <c r="J21" s="18">
        <f t="shared" si="58"/>
        <v>20</v>
      </c>
      <c r="N21" s="109">
        <f t="shared" si="31"/>
        <v>5</v>
      </c>
      <c r="O21" s="109" t="str">
        <f t="shared" si="32"/>
        <v>KCNW Berlin</v>
      </c>
      <c r="P21" s="109" t="s">
        <v>121</v>
      </c>
      <c r="Q21" s="109">
        <f>VLOOKUP($O21,Rückrunde!$AD$32:$AJ$39,Q$4,FALSE)</f>
        <v>0</v>
      </c>
      <c r="R21" s="109">
        <f>VLOOKUP($O21,Rückrunde!$AD$32:$AJ$39,R$4,FALSE)</f>
        <v>0</v>
      </c>
      <c r="S21" s="109">
        <f>VLOOKUP($O21,Rückrunde!$AD$32:$AJ$39,S$4,FALSE)</f>
        <v>0</v>
      </c>
      <c r="T21" s="109">
        <f>VLOOKUP($O21,Rückrunde!$AD$32:$AJ$39,T$4,FALSE)</f>
        <v>0</v>
      </c>
      <c r="U21" s="109">
        <f>VLOOKUP($O21,Rückrunde!$AD$32:$AJ$39,U$4,FALSE)</f>
        <v>0</v>
      </c>
      <c r="V21" s="109">
        <f t="shared" si="33"/>
        <v>0</v>
      </c>
      <c r="W21" s="109">
        <f t="shared" si="34"/>
        <v>0</v>
      </c>
      <c r="X21" s="109">
        <f t="shared" si="35"/>
        <v>1</v>
      </c>
      <c r="Y21" s="109">
        <f>IF(COUNTIF(X$18:X21,X21)&gt;1,1,0)</f>
        <v>1</v>
      </c>
      <c r="Z21" s="109">
        <f t="shared" si="36"/>
        <v>1</v>
      </c>
      <c r="AA21" s="109">
        <f t="shared" si="37"/>
        <v>1</v>
      </c>
      <c r="AB21" s="109">
        <f>IF(COUNTIF(AA$18:AA21,AA21)&gt;1,1,0)</f>
        <v>1</v>
      </c>
      <c r="AC21" s="109">
        <f t="shared" si="38"/>
        <v>2</v>
      </c>
      <c r="AD21" s="109">
        <f t="shared" si="39"/>
        <v>1</v>
      </c>
      <c r="AE21" s="109">
        <f>IF(COUNTIF(AD$18:AD21,AD21)&gt;1,1,0)</f>
        <v>1</v>
      </c>
      <c r="AF21" s="109">
        <f t="shared" si="40"/>
        <v>3</v>
      </c>
      <c r="AG21" s="109">
        <f t="shared" si="41"/>
        <v>1</v>
      </c>
      <c r="AH21" s="109">
        <f>IF(COUNTIF(AG$18:AG21,AG21)&gt;1,1,0)</f>
        <v>0</v>
      </c>
      <c r="AI21" s="109">
        <f t="shared" si="42"/>
        <v>3</v>
      </c>
      <c r="AJ21" s="109">
        <f t="shared" si="43"/>
        <v>5</v>
      </c>
      <c r="AK21" s="109">
        <f>IF(COUNTIF(AJ$18:AJ21,AJ21)&gt;1,1,0)</f>
        <v>0</v>
      </c>
      <c r="AL21" s="109">
        <f t="shared" si="44"/>
        <v>3</v>
      </c>
      <c r="AM21" s="109">
        <f t="shared" si="45"/>
        <v>5</v>
      </c>
      <c r="AN21" s="109">
        <f>IF(COUNTIF(AM$18:AM21,AM21)&gt;1,1,0)</f>
        <v>0</v>
      </c>
      <c r="AO21" s="109">
        <f t="shared" si="46"/>
        <v>3</v>
      </c>
      <c r="AP21" s="109">
        <f t="shared" si="47"/>
        <v>5</v>
      </c>
      <c r="AQ21" s="109">
        <f>IF(COUNTIF(AP$18:AP21,AP21)&gt;1,1,0)</f>
        <v>0</v>
      </c>
      <c r="AR21" s="109">
        <f t="shared" si="48"/>
        <v>3</v>
      </c>
      <c r="AS21" s="109">
        <f t="shared" si="49"/>
        <v>5</v>
      </c>
      <c r="AT21" s="109">
        <f>IF(COUNTIF(AS$18:AS21,AS21)&gt;1,1,0)</f>
        <v>0</v>
      </c>
      <c r="AU21" s="109">
        <f t="shared" si="50"/>
        <v>3</v>
      </c>
      <c r="AV21" s="109">
        <f t="shared" si="51"/>
        <v>5</v>
      </c>
      <c r="AW21" s="109">
        <f>IF(COUNTIF(AV$18:AV21,AV21)&gt;1,1,0)</f>
        <v>0</v>
      </c>
      <c r="AX21" s="109">
        <f t="shared" si="52"/>
        <v>3</v>
      </c>
      <c r="AY21" s="109">
        <f t="shared" si="53"/>
        <v>5</v>
      </c>
      <c r="AZ21" s="109">
        <f>IF(COUNTIF(AY$18:AY21,AY21)&gt;1,1,0)</f>
        <v>0</v>
      </c>
      <c r="BA21" s="109">
        <f t="shared" si="54"/>
        <v>3</v>
      </c>
      <c r="BB21" s="109">
        <f t="shared" si="55"/>
        <v>5</v>
      </c>
      <c r="BC21" s="109">
        <f>IF(COUNTIF(BB$18:BB21,BB21)&gt;1,1,0)</f>
        <v>0</v>
      </c>
      <c r="BD21" s="109">
        <f t="shared" si="56"/>
        <v>3</v>
      </c>
      <c r="BE21" s="109">
        <f t="shared" si="57"/>
        <v>5</v>
      </c>
    </row>
    <row r="22" spans="1:57" ht="16.5">
      <c r="A22" s="18" t="s">
        <v>54</v>
      </c>
      <c r="B22" s="18">
        <v>20</v>
      </c>
      <c r="C22" s="18">
        <v>4</v>
      </c>
      <c r="D22" s="18" t="str">
        <f t="shared" si="58"/>
        <v>KCNW Berlin</v>
      </c>
      <c r="E22" s="18" t="str">
        <f t="shared" si="58"/>
        <v>Damen</v>
      </c>
      <c r="F22" s="18">
        <f t="shared" si="58"/>
        <v>4</v>
      </c>
      <c r="G22" s="18">
        <f t="shared" si="58"/>
        <v>2</v>
      </c>
      <c r="H22" s="18">
        <f t="shared" si="58"/>
        <v>1</v>
      </c>
      <c r="I22" s="18">
        <f t="shared" si="58"/>
        <v>24</v>
      </c>
      <c r="J22" s="18">
        <f t="shared" si="58"/>
        <v>13</v>
      </c>
      <c r="N22" s="109">
        <f t="shared" si="31"/>
        <v>4</v>
      </c>
      <c r="O22" s="109" t="str">
        <f t="shared" si="32"/>
        <v>WSF Liblar</v>
      </c>
      <c r="P22" s="109" t="s">
        <v>121</v>
      </c>
      <c r="Q22" s="109">
        <f>VLOOKUP($O22,Rückrunde!$AD$32:$AJ$39,Q$4,FALSE)</f>
        <v>0</v>
      </c>
      <c r="R22" s="109">
        <f>VLOOKUP($O22,Rückrunde!$AD$32:$AJ$39,R$4,FALSE)</f>
        <v>0</v>
      </c>
      <c r="S22" s="109">
        <f>VLOOKUP($O22,Rückrunde!$AD$32:$AJ$39,S$4,FALSE)</f>
        <v>0</v>
      </c>
      <c r="T22" s="109">
        <f>VLOOKUP($O22,Rückrunde!$AD$32:$AJ$39,T$4,FALSE)</f>
        <v>0</v>
      </c>
      <c r="U22" s="109">
        <f>VLOOKUP($O22,Rückrunde!$AD$32:$AJ$39,U$4,FALSE)</f>
        <v>0</v>
      </c>
      <c r="V22" s="109">
        <f t="shared" si="33"/>
        <v>0</v>
      </c>
      <c r="W22" s="109">
        <f t="shared" si="34"/>
        <v>0</v>
      </c>
      <c r="X22" s="109">
        <f t="shared" si="35"/>
        <v>1</v>
      </c>
      <c r="Y22" s="109">
        <f>IF(COUNTIF(X$18:X22,X22)&gt;1,1,0)</f>
        <v>1</v>
      </c>
      <c r="Z22" s="109">
        <f t="shared" si="36"/>
        <v>1</v>
      </c>
      <c r="AA22" s="109">
        <f t="shared" si="37"/>
        <v>1</v>
      </c>
      <c r="AB22" s="109">
        <f>IF(COUNTIF(AA$18:AA22,AA22)&gt;1,1,0)</f>
        <v>1</v>
      </c>
      <c r="AC22" s="109">
        <f t="shared" si="38"/>
        <v>2</v>
      </c>
      <c r="AD22" s="109">
        <f t="shared" si="39"/>
        <v>1</v>
      </c>
      <c r="AE22" s="109">
        <f>IF(COUNTIF(AD$18:AD22,AD22)&gt;1,1,0)</f>
        <v>1</v>
      </c>
      <c r="AF22" s="109">
        <f t="shared" si="40"/>
        <v>3</v>
      </c>
      <c r="AG22" s="109">
        <f t="shared" si="41"/>
        <v>1</v>
      </c>
      <c r="AH22" s="109">
        <f>IF(COUNTIF(AG$18:AG22,AG22)&gt;1,1,0)</f>
        <v>1</v>
      </c>
      <c r="AI22" s="109">
        <f t="shared" si="42"/>
        <v>4</v>
      </c>
      <c r="AJ22" s="109">
        <f t="shared" si="43"/>
        <v>1</v>
      </c>
      <c r="AK22" s="109">
        <f>IF(COUNTIF(AJ$18:AJ22,AJ22)&gt;1,1,0)</f>
        <v>0</v>
      </c>
      <c r="AL22" s="109">
        <f t="shared" si="44"/>
        <v>4</v>
      </c>
      <c r="AM22" s="109">
        <f t="shared" si="45"/>
        <v>4</v>
      </c>
      <c r="AN22" s="109">
        <f>IF(COUNTIF(AM$18:AM22,AM22)&gt;1,1,0)</f>
        <v>0</v>
      </c>
      <c r="AO22" s="109">
        <f t="shared" si="46"/>
        <v>4</v>
      </c>
      <c r="AP22" s="109">
        <f t="shared" si="47"/>
        <v>4</v>
      </c>
      <c r="AQ22" s="109">
        <f>IF(COUNTIF(AP$18:AP22,AP22)&gt;1,1,0)</f>
        <v>0</v>
      </c>
      <c r="AR22" s="109">
        <f t="shared" si="48"/>
        <v>4</v>
      </c>
      <c r="AS22" s="109">
        <f t="shared" si="49"/>
        <v>4</v>
      </c>
      <c r="AT22" s="109">
        <f>IF(COUNTIF(AS$18:AS22,AS22)&gt;1,1,0)</f>
        <v>0</v>
      </c>
      <c r="AU22" s="109">
        <f t="shared" si="50"/>
        <v>4</v>
      </c>
      <c r="AV22" s="109">
        <f t="shared" si="51"/>
        <v>4</v>
      </c>
      <c r="AW22" s="109">
        <f>IF(COUNTIF(AV$18:AV22,AV22)&gt;1,1,0)</f>
        <v>0</v>
      </c>
      <c r="AX22" s="109">
        <f t="shared" si="52"/>
        <v>4</v>
      </c>
      <c r="AY22" s="109">
        <f t="shared" si="53"/>
        <v>4</v>
      </c>
      <c r="AZ22" s="109">
        <f>IF(COUNTIF(AY$18:AY22,AY22)&gt;1,1,0)</f>
        <v>0</v>
      </c>
      <c r="BA22" s="109">
        <f t="shared" si="54"/>
        <v>4</v>
      </c>
      <c r="BB22" s="109">
        <f t="shared" si="55"/>
        <v>4</v>
      </c>
      <c r="BC22" s="109">
        <f>IF(COUNTIF(BB$18:BB22,BB22)&gt;1,1,0)</f>
        <v>0</v>
      </c>
      <c r="BD22" s="109">
        <f t="shared" si="56"/>
        <v>4</v>
      </c>
      <c r="BE22" s="109">
        <f t="shared" si="57"/>
        <v>4</v>
      </c>
    </row>
    <row r="23" spans="1:57" ht="16.5">
      <c r="A23" s="18" t="s">
        <v>54</v>
      </c>
      <c r="B23" s="18">
        <v>21</v>
      </c>
      <c r="C23" s="18">
        <v>5</v>
      </c>
      <c r="D23" s="18" t="str">
        <f t="shared" si="58"/>
        <v>1. MKC Duisburg</v>
      </c>
      <c r="E23" s="18" t="str">
        <f t="shared" si="58"/>
        <v>Damen</v>
      </c>
      <c r="F23" s="18">
        <f t="shared" si="58"/>
        <v>2</v>
      </c>
      <c r="G23" s="18">
        <f t="shared" si="58"/>
        <v>2</v>
      </c>
      <c r="H23" s="18">
        <f t="shared" si="58"/>
        <v>3</v>
      </c>
      <c r="I23" s="18">
        <f t="shared" si="58"/>
        <v>20</v>
      </c>
      <c r="J23" s="18">
        <f t="shared" si="58"/>
        <v>26</v>
      </c>
      <c r="N23" s="109">
        <f t="shared" si="31"/>
        <v>3</v>
      </c>
      <c r="O23" s="109" t="str">
        <f t="shared" si="32"/>
        <v>KSVH Berlin</v>
      </c>
      <c r="P23" s="109" t="s">
        <v>121</v>
      </c>
      <c r="Q23" s="109">
        <f>VLOOKUP($O23,Rückrunde!$AD$32:$AJ$39,Q$4,FALSE)</f>
        <v>0</v>
      </c>
      <c r="R23" s="109">
        <f>VLOOKUP($O23,Rückrunde!$AD$32:$AJ$39,R$4,FALSE)</f>
        <v>0</v>
      </c>
      <c r="S23" s="109">
        <f>VLOOKUP($O23,Rückrunde!$AD$32:$AJ$39,S$4,FALSE)</f>
        <v>0</v>
      </c>
      <c r="T23" s="109">
        <f>VLOOKUP($O23,Rückrunde!$AD$32:$AJ$39,T$4,FALSE)</f>
        <v>0</v>
      </c>
      <c r="U23" s="109">
        <f>VLOOKUP($O23,Rückrunde!$AD$32:$AJ$39,U$4,FALSE)</f>
        <v>0</v>
      </c>
      <c r="V23" s="109">
        <f t="shared" si="33"/>
        <v>0</v>
      </c>
      <c r="W23" s="109">
        <f t="shared" si="34"/>
        <v>0</v>
      </c>
      <c r="X23" s="109">
        <f t="shared" si="35"/>
        <v>1</v>
      </c>
      <c r="Y23" s="109">
        <f>IF(COUNTIF(X$18:X23,X23)&gt;1,1,0)</f>
        <v>1</v>
      </c>
      <c r="Z23" s="109">
        <f t="shared" si="36"/>
        <v>1</v>
      </c>
      <c r="AA23" s="109">
        <f t="shared" si="37"/>
        <v>1</v>
      </c>
      <c r="AB23" s="109">
        <f>IF(COUNTIF(AA$18:AA23,AA23)&gt;1,1,0)</f>
        <v>1</v>
      </c>
      <c r="AC23" s="109">
        <f t="shared" si="38"/>
        <v>2</v>
      </c>
      <c r="AD23" s="109">
        <f t="shared" si="39"/>
        <v>1</v>
      </c>
      <c r="AE23" s="109">
        <f>IF(COUNTIF(AD$18:AD23,AD23)&gt;1,1,0)</f>
        <v>1</v>
      </c>
      <c r="AF23" s="109">
        <f t="shared" si="40"/>
        <v>3</v>
      </c>
      <c r="AG23" s="109">
        <f t="shared" si="41"/>
        <v>1</v>
      </c>
      <c r="AH23" s="109">
        <f>IF(COUNTIF(AG$18:AG23,AG23)&gt;1,1,0)</f>
        <v>1</v>
      </c>
      <c r="AI23" s="109">
        <f t="shared" si="42"/>
        <v>4</v>
      </c>
      <c r="AJ23" s="109">
        <f t="shared" si="43"/>
        <v>1</v>
      </c>
      <c r="AK23" s="109">
        <f>IF(COUNTIF(AJ$18:AJ23,AJ23)&gt;1,1,0)</f>
        <v>1</v>
      </c>
      <c r="AL23" s="109">
        <f t="shared" si="44"/>
        <v>5</v>
      </c>
      <c r="AM23" s="109">
        <f t="shared" si="45"/>
        <v>1</v>
      </c>
      <c r="AN23" s="109">
        <f>IF(COUNTIF(AM$18:AM23,AM23)&gt;1,1,0)</f>
        <v>0</v>
      </c>
      <c r="AO23" s="109">
        <f t="shared" si="46"/>
        <v>5</v>
      </c>
      <c r="AP23" s="109">
        <f t="shared" si="47"/>
        <v>3</v>
      </c>
      <c r="AQ23" s="109">
        <f>IF(COUNTIF(AP$18:AP23,AP23)&gt;1,1,0)</f>
        <v>0</v>
      </c>
      <c r="AR23" s="109">
        <f t="shared" si="48"/>
        <v>5</v>
      </c>
      <c r="AS23" s="109">
        <f t="shared" si="49"/>
        <v>3</v>
      </c>
      <c r="AT23" s="109">
        <f>IF(COUNTIF(AS$18:AS23,AS23)&gt;1,1,0)</f>
        <v>0</v>
      </c>
      <c r="AU23" s="109">
        <f t="shared" si="50"/>
        <v>5</v>
      </c>
      <c r="AV23" s="109">
        <f t="shared" si="51"/>
        <v>3</v>
      </c>
      <c r="AW23" s="109">
        <f>IF(COUNTIF(AV$18:AV23,AV23)&gt;1,1,0)</f>
        <v>0</v>
      </c>
      <c r="AX23" s="109">
        <f t="shared" si="52"/>
        <v>5</v>
      </c>
      <c r="AY23" s="109">
        <f t="shared" si="53"/>
        <v>3</v>
      </c>
      <c r="AZ23" s="109">
        <f>IF(COUNTIF(AY$18:AY23,AY23)&gt;1,1,0)</f>
        <v>0</v>
      </c>
      <c r="BA23" s="109">
        <f t="shared" si="54"/>
        <v>5</v>
      </c>
      <c r="BB23" s="109">
        <f t="shared" si="55"/>
        <v>3</v>
      </c>
      <c r="BC23" s="109">
        <f>IF(COUNTIF(BB$18:BB23,BB23)&gt;1,1,0)</f>
        <v>0</v>
      </c>
      <c r="BD23" s="109">
        <f t="shared" si="56"/>
        <v>5</v>
      </c>
      <c r="BE23" s="109">
        <f t="shared" si="57"/>
        <v>3</v>
      </c>
    </row>
    <row r="24" spans="1:57" ht="16.5">
      <c r="A24" s="18" t="s">
        <v>54</v>
      </c>
      <c r="B24" s="18">
        <v>22</v>
      </c>
      <c r="C24" s="18">
        <v>6</v>
      </c>
      <c r="D24" s="18" t="str">
        <f t="shared" si="58"/>
        <v>WSF Liblar</v>
      </c>
      <c r="E24" s="18" t="str">
        <f t="shared" si="58"/>
        <v>Damen</v>
      </c>
      <c r="F24" s="18">
        <f t="shared" si="58"/>
        <v>2</v>
      </c>
      <c r="G24" s="18">
        <f t="shared" si="58"/>
        <v>2</v>
      </c>
      <c r="H24" s="18">
        <f t="shared" si="58"/>
        <v>3</v>
      </c>
      <c r="I24" s="18">
        <f t="shared" si="58"/>
        <v>15</v>
      </c>
      <c r="J24" s="18">
        <f t="shared" si="58"/>
        <v>26</v>
      </c>
      <c r="N24" s="109">
        <f t="shared" si="31"/>
        <v>2</v>
      </c>
      <c r="O24" s="109" t="str">
        <f t="shared" si="32"/>
        <v>1. MKC Duisburg</v>
      </c>
      <c r="P24" s="109" t="s">
        <v>121</v>
      </c>
      <c r="Q24" s="109">
        <f>VLOOKUP($O24,Rückrunde!$AD$32:$AJ$39,Q$4,FALSE)</f>
        <v>0</v>
      </c>
      <c r="R24" s="109">
        <f>VLOOKUP($O24,Rückrunde!$AD$32:$AJ$39,R$4,FALSE)</f>
        <v>0</v>
      </c>
      <c r="S24" s="109">
        <f>VLOOKUP($O24,Rückrunde!$AD$32:$AJ$39,S$4,FALSE)</f>
        <v>0</v>
      </c>
      <c r="T24" s="109">
        <f>VLOOKUP($O24,Rückrunde!$AD$32:$AJ$39,T$4,FALSE)</f>
        <v>0</v>
      </c>
      <c r="U24" s="109">
        <f>VLOOKUP($O24,Rückrunde!$AD$32:$AJ$39,U$4,FALSE)</f>
        <v>0</v>
      </c>
      <c r="V24" s="109">
        <f t="shared" si="33"/>
        <v>0</v>
      </c>
      <c r="W24" s="109">
        <f t="shared" si="34"/>
        <v>0</v>
      </c>
      <c r="X24" s="109">
        <f t="shared" si="35"/>
        <v>1</v>
      </c>
      <c r="Y24" s="109">
        <f>IF(COUNTIF(X$18:X24,X24)&gt;1,1,0)</f>
        <v>1</v>
      </c>
      <c r="Z24" s="109">
        <f t="shared" si="36"/>
        <v>1</v>
      </c>
      <c r="AA24" s="109">
        <f t="shared" si="37"/>
        <v>1</v>
      </c>
      <c r="AB24" s="109">
        <f>IF(COUNTIF(AA$18:AA24,AA24)&gt;1,1,0)</f>
        <v>1</v>
      </c>
      <c r="AC24" s="109">
        <f t="shared" si="38"/>
        <v>2</v>
      </c>
      <c r="AD24" s="109">
        <f t="shared" si="39"/>
        <v>1</v>
      </c>
      <c r="AE24" s="109">
        <f>IF(COUNTIF(AD$18:AD24,AD24)&gt;1,1,0)</f>
        <v>1</v>
      </c>
      <c r="AF24" s="109">
        <f t="shared" si="40"/>
        <v>3</v>
      </c>
      <c r="AG24" s="109">
        <f t="shared" si="41"/>
        <v>1</v>
      </c>
      <c r="AH24" s="109">
        <f>IF(COUNTIF(AG$18:AG24,AG24)&gt;1,1,0)</f>
        <v>1</v>
      </c>
      <c r="AI24" s="109">
        <f t="shared" si="42"/>
        <v>4</v>
      </c>
      <c r="AJ24" s="109">
        <f t="shared" si="43"/>
        <v>1</v>
      </c>
      <c r="AK24" s="109">
        <f>IF(COUNTIF(AJ$18:AJ24,AJ24)&gt;1,1,0)</f>
        <v>1</v>
      </c>
      <c r="AL24" s="109">
        <f t="shared" si="44"/>
        <v>5</v>
      </c>
      <c r="AM24" s="109">
        <f t="shared" si="45"/>
        <v>1</v>
      </c>
      <c r="AN24" s="109">
        <f>IF(COUNTIF(AM$18:AM24,AM24)&gt;1,1,0)</f>
        <v>1</v>
      </c>
      <c r="AO24" s="109">
        <f t="shared" si="46"/>
        <v>6</v>
      </c>
      <c r="AP24" s="109">
        <f t="shared" si="47"/>
        <v>1</v>
      </c>
      <c r="AQ24" s="109">
        <f>IF(COUNTIF(AP$18:AP24,AP24)&gt;1,1,0)</f>
        <v>0</v>
      </c>
      <c r="AR24" s="109">
        <f t="shared" si="48"/>
        <v>6</v>
      </c>
      <c r="AS24" s="109">
        <f t="shared" si="49"/>
        <v>2</v>
      </c>
      <c r="AT24" s="109">
        <f>IF(COUNTIF(AS$18:AS24,AS24)&gt;1,1,0)</f>
        <v>0</v>
      </c>
      <c r="AU24" s="109">
        <f t="shared" si="50"/>
        <v>6</v>
      </c>
      <c r="AV24" s="109">
        <f t="shared" si="51"/>
        <v>2</v>
      </c>
      <c r="AW24" s="109">
        <f>IF(COUNTIF(AV$18:AV24,AV24)&gt;1,1,0)</f>
        <v>0</v>
      </c>
      <c r="AX24" s="109">
        <f t="shared" si="52"/>
        <v>6</v>
      </c>
      <c r="AY24" s="109">
        <f t="shared" si="53"/>
        <v>2</v>
      </c>
      <c r="AZ24" s="109">
        <f>IF(COUNTIF(AY$18:AY24,AY24)&gt;1,1,0)</f>
        <v>0</v>
      </c>
      <c r="BA24" s="109">
        <f t="shared" si="54"/>
        <v>6</v>
      </c>
      <c r="BB24" s="109">
        <f t="shared" si="55"/>
        <v>2</v>
      </c>
      <c r="BC24" s="109">
        <f>IF(COUNTIF(BB$18:BB24,BB24)&gt;1,1,0)</f>
        <v>0</v>
      </c>
      <c r="BD24" s="109">
        <f t="shared" si="56"/>
        <v>6</v>
      </c>
      <c r="BE24" s="109">
        <f t="shared" si="57"/>
        <v>2</v>
      </c>
    </row>
    <row r="25" spans="1:57" ht="16.5">
      <c r="A25" s="18" t="s">
        <v>54</v>
      </c>
      <c r="B25" s="18">
        <v>23</v>
      </c>
      <c r="C25" s="18">
        <v>7</v>
      </c>
      <c r="D25" s="18" t="str">
        <f t="shared" si="58"/>
        <v>KSVH Berlin</v>
      </c>
      <c r="E25" s="18" t="str">
        <f t="shared" si="58"/>
        <v>Damen</v>
      </c>
      <c r="F25" s="18">
        <f t="shared" si="58"/>
        <v>1</v>
      </c>
      <c r="G25" s="18">
        <f t="shared" si="58"/>
        <v>0</v>
      </c>
      <c r="H25" s="18">
        <f t="shared" si="58"/>
        <v>6</v>
      </c>
      <c r="I25" s="18">
        <f t="shared" si="58"/>
        <v>14</v>
      </c>
      <c r="J25" s="18">
        <f t="shared" si="58"/>
        <v>28</v>
      </c>
      <c r="N25" s="109">
        <f t="shared" si="31"/>
        <v>1</v>
      </c>
      <c r="O25" s="109" t="str">
        <f t="shared" si="32"/>
        <v>KP Münster</v>
      </c>
      <c r="P25" s="109" t="s">
        <v>121</v>
      </c>
      <c r="Q25" s="109">
        <f>VLOOKUP($O25,Rückrunde!$AD$32:$AJ$39,Q$4,FALSE)</f>
        <v>0</v>
      </c>
      <c r="R25" s="109">
        <f>VLOOKUP($O25,Rückrunde!$AD$32:$AJ$39,R$4,FALSE)</f>
        <v>0</v>
      </c>
      <c r="S25" s="109">
        <f>VLOOKUP($O25,Rückrunde!$AD$32:$AJ$39,S$4,FALSE)</f>
        <v>0</v>
      </c>
      <c r="T25" s="109">
        <f>VLOOKUP($O25,Rückrunde!$AD$32:$AJ$39,T$4,FALSE)</f>
        <v>0</v>
      </c>
      <c r="U25" s="109">
        <f>VLOOKUP($O25,Rückrunde!$AD$32:$AJ$39,U$4,FALSE)</f>
        <v>0</v>
      </c>
      <c r="V25" s="109">
        <f t="shared" si="33"/>
        <v>0</v>
      </c>
      <c r="W25" s="109">
        <f t="shared" si="34"/>
        <v>0</v>
      </c>
      <c r="X25" s="109">
        <f t="shared" si="35"/>
        <v>1</v>
      </c>
      <c r="Y25" s="109">
        <f>IF(COUNTIF(X$18:X25,X25)&gt;1,1,0)</f>
        <v>1</v>
      </c>
      <c r="Z25" s="109">
        <f t="shared" si="36"/>
        <v>1</v>
      </c>
      <c r="AA25" s="109">
        <f t="shared" si="37"/>
        <v>1</v>
      </c>
      <c r="AB25" s="109">
        <f>IF(COUNTIF(AA$18:AA25,AA25)&gt;1,1,0)</f>
        <v>1</v>
      </c>
      <c r="AC25" s="109">
        <f t="shared" si="38"/>
        <v>2</v>
      </c>
      <c r="AD25" s="109">
        <f t="shared" si="39"/>
        <v>1</v>
      </c>
      <c r="AE25" s="109">
        <f>IF(COUNTIF(AD$18:AD25,AD25)&gt;1,1,0)</f>
        <v>1</v>
      </c>
      <c r="AF25" s="109">
        <f t="shared" si="40"/>
        <v>3</v>
      </c>
      <c r="AG25" s="109">
        <f t="shared" si="41"/>
        <v>1</v>
      </c>
      <c r="AH25" s="109">
        <f>IF(COUNTIF(AG$18:AG25,AG25)&gt;1,1,0)</f>
        <v>1</v>
      </c>
      <c r="AI25" s="109">
        <f t="shared" si="42"/>
        <v>4</v>
      </c>
      <c r="AJ25" s="109">
        <f t="shared" si="43"/>
        <v>1</v>
      </c>
      <c r="AK25" s="109">
        <f>IF(COUNTIF(AJ$18:AJ25,AJ25)&gt;1,1,0)</f>
        <v>1</v>
      </c>
      <c r="AL25" s="109">
        <f t="shared" si="44"/>
        <v>5</v>
      </c>
      <c r="AM25" s="109">
        <f t="shared" si="45"/>
        <v>1</v>
      </c>
      <c r="AN25" s="109">
        <f>IF(COUNTIF(AM$18:AM25,AM25)&gt;1,1,0)</f>
        <v>1</v>
      </c>
      <c r="AO25" s="109">
        <f t="shared" si="46"/>
        <v>6</v>
      </c>
      <c r="AP25" s="109">
        <f t="shared" si="47"/>
        <v>1</v>
      </c>
      <c r="AQ25" s="109">
        <f>IF(COUNTIF(AP$18:AP25,AP25)&gt;1,1,0)</f>
        <v>1</v>
      </c>
      <c r="AR25" s="109">
        <f t="shared" si="48"/>
        <v>7</v>
      </c>
      <c r="AS25" s="109">
        <f t="shared" si="49"/>
        <v>1</v>
      </c>
      <c r="AT25" s="109">
        <f>IF(COUNTIF(AS$18:AS25,AS25)&gt;1,1,0)</f>
        <v>0</v>
      </c>
      <c r="AU25" s="109">
        <f t="shared" si="50"/>
        <v>7</v>
      </c>
      <c r="AV25" s="109">
        <f t="shared" si="51"/>
        <v>1</v>
      </c>
      <c r="AW25" s="109">
        <f>IF(COUNTIF(AV$18:AV25,AV25)&gt;1,1,0)</f>
        <v>0</v>
      </c>
      <c r="AX25" s="109">
        <f t="shared" si="52"/>
        <v>7</v>
      </c>
      <c r="AY25" s="109">
        <f t="shared" si="53"/>
        <v>1</v>
      </c>
      <c r="AZ25" s="109">
        <f>IF(COUNTIF(AY$18:AY25,AY25)&gt;1,1,0)</f>
        <v>0</v>
      </c>
      <c r="BA25" s="109">
        <f t="shared" si="54"/>
        <v>7</v>
      </c>
      <c r="BB25" s="109">
        <f t="shared" si="55"/>
        <v>1</v>
      </c>
      <c r="BC25" s="109">
        <f>IF(COUNTIF(BB$18:BB25,BB25)&gt;1,1,0)</f>
        <v>0</v>
      </c>
      <c r="BD25" s="109">
        <f t="shared" si="56"/>
        <v>7</v>
      </c>
      <c r="BE25" s="109">
        <f t="shared" si="57"/>
        <v>1</v>
      </c>
    </row>
    <row r="26" spans="1:10" ht="16.5">
      <c r="A26" s="18" t="s">
        <v>54</v>
      </c>
      <c r="B26" s="18">
        <v>24</v>
      </c>
      <c r="C26" s="18">
        <v>8</v>
      </c>
      <c r="D26" s="18" t="str">
        <f t="shared" si="58"/>
        <v>KP Münster</v>
      </c>
      <c r="E26" s="18" t="str">
        <f t="shared" si="58"/>
        <v>Damen</v>
      </c>
      <c r="F26" s="18">
        <f t="shared" si="58"/>
        <v>0</v>
      </c>
      <c r="G26" s="18">
        <f t="shared" si="58"/>
        <v>0</v>
      </c>
      <c r="H26" s="18">
        <f t="shared" si="58"/>
        <v>7</v>
      </c>
      <c r="I26" s="18">
        <f t="shared" si="58"/>
        <v>11</v>
      </c>
      <c r="J26" s="18">
        <f t="shared" si="58"/>
        <v>44</v>
      </c>
    </row>
    <row r="28" ht="16.5">
      <c r="N28" s="18" t="s">
        <v>54</v>
      </c>
    </row>
    <row r="29" spans="14:57" ht="16.5">
      <c r="N29" s="109" t="s">
        <v>52</v>
      </c>
      <c r="O29" s="110" t="s">
        <v>30</v>
      </c>
      <c r="P29" s="109" t="s">
        <v>6</v>
      </c>
      <c r="Q29" s="109" t="s">
        <v>39</v>
      </c>
      <c r="R29" s="109" t="s">
        <v>32</v>
      </c>
      <c r="S29" s="109" t="s">
        <v>38</v>
      </c>
      <c r="T29" s="109" t="s">
        <v>35</v>
      </c>
      <c r="U29" s="109" t="s">
        <v>16</v>
      </c>
      <c r="V29" s="109" t="s">
        <v>51</v>
      </c>
      <c r="W29" s="109" t="s">
        <v>53</v>
      </c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</row>
    <row r="30" spans="14:57" ht="16.5">
      <c r="N30" s="109">
        <f aca="true" t="shared" si="59" ref="N30:N37">RANK(BD30,$BD$30:$BD$49,0)</f>
        <v>1</v>
      </c>
      <c r="O30" s="109" t="str">
        <f aca="true" t="shared" si="60" ref="O30:O37">O18</f>
        <v>ACC Hamburg</v>
      </c>
      <c r="P30" s="109" t="s">
        <v>121</v>
      </c>
      <c r="Q30" s="109">
        <f>VLOOKUP($O30,$O$6:$U$13,Q$4,FALSE)+VLOOKUP($O30,$O$18:$U$25,Q$4,FALSE)</f>
        <v>5</v>
      </c>
      <c r="R30" s="109">
        <f aca="true" t="shared" si="61" ref="R30:U37">VLOOKUP($O30,$O$6:$U$13,R$4,FALSE)+VLOOKUP($O30,$O$18:$U$25,R$4,FALSE)</f>
        <v>1</v>
      </c>
      <c r="S30" s="109">
        <f t="shared" si="61"/>
        <v>1</v>
      </c>
      <c r="T30" s="109">
        <f t="shared" si="61"/>
        <v>45</v>
      </c>
      <c r="U30" s="109">
        <f t="shared" si="61"/>
        <v>15</v>
      </c>
      <c r="V30" s="109">
        <f aca="true" t="shared" si="62" ref="V30:V37">Q30*3+R30*1</f>
        <v>16</v>
      </c>
      <c r="W30" s="109">
        <f aca="true" t="shared" si="63" ref="W30:W37">V30*99999999+(T30-U30)*888888+T30*7777</f>
        <v>1627016589</v>
      </c>
      <c r="X30" s="109">
        <f aca="true" t="shared" si="64" ref="X30:X37">RANK(W30,W$30:W$40,0)</f>
        <v>1</v>
      </c>
      <c r="Y30" s="109">
        <f>IF(COUNTIF(X$30:X30,X30)&gt;1,1,0)</f>
        <v>0</v>
      </c>
      <c r="Z30" s="109">
        <f aca="true" t="shared" si="65" ref="Z30:Z37">Y30+W30</f>
        <v>1627016589</v>
      </c>
      <c r="AA30" s="109">
        <f aca="true" t="shared" si="66" ref="AA30:AA37">RANK(Z30,Z$30:Z$40,0)</f>
        <v>1</v>
      </c>
      <c r="AB30" s="109">
        <f>IF(COUNTIF(AA$30:AA30,AA30)&gt;1,1,0)</f>
        <v>0</v>
      </c>
      <c r="AC30" s="109">
        <f aca="true" t="shared" si="67" ref="AC30:AC37">AB30+Z30</f>
        <v>1627016589</v>
      </c>
      <c r="AD30" s="109">
        <f aca="true" t="shared" si="68" ref="AD30:AD37">RANK(AC30,AC$30:AC$49,0)</f>
        <v>1</v>
      </c>
      <c r="AE30" s="109">
        <f>IF(COUNTIF(AD$30:AD30,AD30)&gt;1,1,0)</f>
        <v>0</v>
      </c>
      <c r="AF30" s="109">
        <f aca="true" t="shared" si="69" ref="AF30:AF37">AE30+AC30</f>
        <v>1627016589</v>
      </c>
      <c r="AG30" s="109">
        <f aca="true" t="shared" si="70" ref="AG30:AG37">RANK(AF30,AF$30:AF$49,0)</f>
        <v>1</v>
      </c>
      <c r="AH30" s="109">
        <f>IF(COUNTIF(AG$30:AG30,AG30)&gt;1,1,0)</f>
        <v>0</v>
      </c>
      <c r="AI30" s="109">
        <f aca="true" t="shared" si="71" ref="AI30:AI37">AH30+AF30</f>
        <v>1627016589</v>
      </c>
      <c r="AJ30" s="109">
        <f aca="true" t="shared" si="72" ref="AJ30:AJ37">RANK(AI30,AI$30:AI$49,0)</f>
        <v>1</v>
      </c>
      <c r="AK30" s="109">
        <f>IF(COUNTIF(AJ$30:AJ30,AJ30)&gt;1,1,0)</f>
        <v>0</v>
      </c>
      <c r="AL30" s="109">
        <f aca="true" t="shared" si="73" ref="AL30:AL37">AK30+AI30</f>
        <v>1627016589</v>
      </c>
      <c r="AM30" s="109">
        <f aca="true" t="shared" si="74" ref="AM30:AM37">RANK(AL30,AL$30:AL$49,0)</f>
        <v>1</v>
      </c>
      <c r="AN30" s="109">
        <f>IF(COUNTIF(AM$30:AM30,AM30)&gt;1,1,0)</f>
        <v>0</v>
      </c>
      <c r="AO30" s="109">
        <f aca="true" t="shared" si="75" ref="AO30:AO37">AN30+AL30</f>
        <v>1627016589</v>
      </c>
      <c r="AP30" s="109">
        <f aca="true" t="shared" si="76" ref="AP30:AP37">RANK(AO30,AO$30:AO$49,0)</f>
        <v>1</v>
      </c>
      <c r="AQ30" s="109">
        <f>IF(COUNTIF(AP$30:AP30,AP30)&gt;1,1,0)</f>
        <v>0</v>
      </c>
      <c r="AR30" s="109">
        <f aca="true" t="shared" si="77" ref="AR30:AR37">AQ30+AO30</f>
        <v>1627016589</v>
      </c>
      <c r="AS30" s="109">
        <f aca="true" t="shared" si="78" ref="AS30:AS37">RANK(AR30,AR$30:AR$49,0)</f>
        <v>1</v>
      </c>
      <c r="AT30" s="109">
        <f>IF(COUNTIF(AS$30:AS30,AS30)&gt;1,1,0)</f>
        <v>0</v>
      </c>
      <c r="AU30" s="109">
        <f aca="true" t="shared" si="79" ref="AU30:AU37">AT30+AR30</f>
        <v>1627016589</v>
      </c>
      <c r="AV30" s="109">
        <f aca="true" t="shared" si="80" ref="AV30:AV37">RANK(AU30,AU$30:AU$49,0)</f>
        <v>1</v>
      </c>
      <c r="AW30" s="109">
        <f>IF(COUNTIF(AV$30:AV30,AV30)&gt;1,1,0)</f>
        <v>0</v>
      </c>
      <c r="AX30" s="109">
        <f aca="true" t="shared" si="81" ref="AX30:AX37">AW30+AU30</f>
        <v>1627016589</v>
      </c>
      <c r="AY30" s="109">
        <f aca="true" t="shared" si="82" ref="AY30:AY37">RANK(AX30,AX$30:AX$49,0)</f>
        <v>1</v>
      </c>
      <c r="AZ30" s="109">
        <f>IF(COUNTIF(AY$30:AY30,AY30)&gt;1,1,0)</f>
        <v>0</v>
      </c>
      <c r="BA30" s="109">
        <f aca="true" t="shared" si="83" ref="BA30:BA37">AZ30+AX30</f>
        <v>1627016589</v>
      </c>
      <c r="BB30" s="109">
        <f aca="true" t="shared" si="84" ref="BB30:BB37">RANK(BA30,BA$30:BA$49,0)</f>
        <v>1</v>
      </c>
      <c r="BC30" s="109">
        <f>IF(COUNTIF(BB$30:BB30,BB30)&gt;1,1,0)</f>
        <v>0</v>
      </c>
      <c r="BD30" s="109">
        <f aca="true" t="shared" si="85" ref="BD30:BD37">BC30+BA30</f>
        <v>1627016589</v>
      </c>
      <c r="BE30" s="109">
        <f aca="true" t="shared" si="86" ref="BE30:BE37">RANK(BD30,BD$30:BD$49,0)</f>
        <v>1</v>
      </c>
    </row>
    <row r="31" spans="14:57" ht="16.5">
      <c r="N31" s="109">
        <f t="shared" si="59"/>
        <v>3</v>
      </c>
      <c r="O31" s="109" t="str">
        <f t="shared" si="60"/>
        <v>KRM Essen</v>
      </c>
      <c r="P31" s="109" t="s">
        <v>121</v>
      </c>
      <c r="Q31" s="109">
        <f aca="true" t="shared" si="87" ref="Q31:Q37">VLOOKUP($O31,$O$6:$U$13,Q$4,FALSE)+VLOOKUP($O31,$O$18:$U$25,Q$4,FALSE)</f>
        <v>5</v>
      </c>
      <c r="R31" s="109">
        <f t="shared" si="61"/>
        <v>0</v>
      </c>
      <c r="S31" s="109">
        <f t="shared" si="61"/>
        <v>2</v>
      </c>
      <c r="T31" s="109">
        <f t="shared" si="61"/>
        <v>28</v>
      </c>
      <c r="U31" s="109">
        <f t="shared" si="61"/>
        <v>20</v>
      </c>
      <c r="V31" s="109">
        <f t="shared" si="62"/>
        <v>15</v>
      </c>
      <c r="W31" s="109">
        <f t="shared" si="63"/>
        <v>1507328845</v>
      </c>
      <c r="X31" s="109">
        <f t="shared" si="64"/>
        <v>3</v>
      </c>
      <c r="Y31" s="109">
        <f>IF(COUNTIF(X$30:X31,X31)&gt;1,1,0)</f>
        <v>0</v>
      </c>
      <c r="Z31" s="109">
        <f t="shared" si="65"/>
        <v>1507328845</v>
      </c>
      <c r="AA31" s="109">
        <f t="shared" si="66"/>
        <v>3</v>
      </c>
      <c r="AB31" s="109">
        <f>IF(COUNTIF(AA$30:AA31,AA31)&gt;1,1,0)</f>
        <v>0</v>
      </c>
      <c r="AC31" s="109">
        <f t="shared" si="67"/>
        <v>1507328845</v>
      </c>
      <c r="AD31" s="109">
        <f t="shared" si="68"/>
        <v>3</v>
      </c>
      <c r="AE31" s="109">
        <f>IF(COUNTIF(AD$30:AD31,AD31)&gt;1,1,0)</f>
        <v>0</v>
      </c>
      <c r="AF31" s="109">
        <f t="shared" si="69"/>
        <v>1507328845</v>
      </c>
      <c r="AG31" s="109">
        <f t="shared" si="70"/>
        <v>3</v>
      </c>
      <c r="AH31" s="109">
        <f>IF(COUNTIF(AG$30:AG31,AG31)&gt;1,1,0)</f>
        <v>0</v>
      </c>
      <c r="AI31" s="109">
        <f t="shared" si="71"/>
        <v>1507328845</v>
      </c>
      <c r="AJ31" s="109">
        <f t="shared" si="72"/>
        <v>3</v>
      </c>
      <c r="AK31" s="109">
        <f>IF(COUNTIF(AJ$30:AJ31,AJ31)&gt;1,1,0)</f>
        <v>0</v>
      </c>
      <c r="AL31" s="109">
        <f t="shared" si="73"/>
        <v>1507328845</v>
      </c>
      <c r="AM31" s="109">
        <f t="shared" si="74"/>
        <v>3</v>
      </c>
      <c r="AN31" s="109">
        <f>IF(COUNTIF(AM$30:AM31,AM31)&gt;1,1,0)</f>
        <v>0</v>
      </c>
      <c r="AO31" s="109">
        <f t="shared" si="75"/>
        <v>1507328845</v>
      </c>
      <c r="AP31" s="109">
        <f t="shared" si="76"/>
        <v>3</v>
      </c>
      <c r="AQ31" s="109">
        <f>IF(COUNTIF(AP$30:AP31,AP31)&gt;1,1,0)</f>
        <v>0</v>
      </c>
      <c r="AR31" s="109">
        <f t="shared" si="77"/>
        <v>1507328845</v>
      </c>
      <c r="AS31" s="109">
        <f t="shared" si="78"/>
        <v>3</v>
      </c>
      <c r="AT31" s="109">
        <f>IF(COUNTIF(AS$30:AS31,AS31)&gt;1,1,0)</f>
        <v>0</v>
      </c>
      <c r="AU31" s="109">
        <f t="shared" si="79"/>
        <v>1507328845</v>
      </c>
      <c r="AV31" s="109">
        <f t="shared" si="80"/>
        <v>3</v>
      </c>
      <c r="AW31" s="109">
        <f>IF(COUNTIF(AV$30:AV31,AV31)&gt;1,1,0)</f>
        <v>0</v>
      </c>
      <c r="AX31" s="109">
        <f t="shared" si="81"/>
        <v>1507328845</v>
      </c>
      <c r="AY31" s="109">
        <f t="shared" si="82"/>
        <v>3</v>
      </c>
      <c r="AZ31" s="109">
        <f>IF(COUNTIF(AY$30:AY31,AY31)&gt;1,1,0)</f>
        <v>0</v>
      </c>
      <c r="BA31" s="109">
        <f t="shared" si="83"/>
        <v>1507328845</v>
      </c>
      <c r="BB31" s="109">
        <f t="shared" si="84"/>
        <v>3</v>
      </c>
      <c r="BC31" s="109">
        <f>IF(COUNTIF(BB$30:BB31,BB31)&gt;1,1,0)</f>
        <v>0</v>
      </c>
      <c r="BD31" s="109">
        <f t="shared" si="85"/>
        <v>1507328845</v>
      </c>
      <c r="BE31" s="109">
        <f t="shared" si="86"/>
        <v>3</v>
      </c>
    </row>
    <row r="32" spans="14:57" ht="16.5">
      <c r="N32" s="109">
        <f t="shared" si="59"/>
        <v>2</v>
      </c>
      <c r="O32" s="109" t="str">
        <f t="shared" si="60"/>
        <v>PSC Coburg</v>
      </c>
      <c r="P32" s="109" t="s">
        <v>121</v>
      </c>
      <c r="Q32" s="109">
        <f t="shared" si="87"/>
        <v>5</v>
      </c>
      <c r="R32" s="109">
        <f t="shared" si="61"/>
        <v>1</v>
      </c>
      <c r="S32" s="109">
        <f t="shared" si="61"/>
        <v>1</v>
      </c>
      <c r="T32" s="109">
        <f t="shared" si="61"/>
        <v>37</v>
      </c>
      <c r="U32" s="109">
        <f t="shared" si="61"/>
        <v>22</v>
      </c>
      <c r="V32" s="109">
        <f t="shared" si="62"/>
        <v>16</v>
      </c>
      <c r="W32" s="109">
        <f t="shared" si="63"/>
        <v>1613621053</v>
      </c>
      <c r="X32" s="109">
        <f t="shared" si="64"/>
        <v>2</v>
      </c>
      <c r="Y32" s="109">
        <f>IF(COUNTIF(X$30:X32,X32)&gt;1,1,0)</f>
        <v>0</v>
      </c>
      <c r="Z32" s="109">
        <f t="shared" si="65"/>
        <v>1613621053</v>
      </c>
      <c r="AA32" s="109">
        <f t="shared" si="66"/>
        <v>2</v>
      </c>
      <c r="AB32" s="109">
        <f>IF(COUNTIF(AA$30:AA32,AA32)&gt;1,1,0)</f>
        <v>0</v>
      </c>
      <c r="AC32" s="109">
        <f t="shared" si="67"/>
        <v>1613621053</v>
      </c>
      <c r="AD32" s="109">
        <f t="shared" si="68"/>
        <v>2</v>
      </c>
      <c r="AE32" s="109">
        <f>IF(COUNTIF(AD$30:AD32,AD32)&gt;1,1,0)</f>
        <v>0</v>
      </c>
      <c r="AF32" s="109">
        <f t="shared" si="69"/>
        <v>1613621053</v>
      </c>
      <c r="AG32" s="109">
        <f t="shared" si="70"/>
        <v>2</v>
      </c>
      <c r="AH32" s="109">
        <f>IF(COUNTIF(AG$30:AG32,AG32)&gt;1,1,0)</f>
        <v>0</v>
      </c>
      <c r="AI32" s="109">
        <f t="shared" si="71"/>
        <v>1613621053</v>
      </c>
      <c r="AJ32" s="109">
        <f t="shared" si="72"/>
        <v>2</v>
      </c>
      <c r="AK32" s="109">
        <f>IF(COUNTIF(AJ$30:AJ32,AJ32)&gt;1,1,0)</f>
        <v>0</v>
      </c>
      <c r="AL32" s="109">
        <f t="shared" si="73"/>
        <v>1613621053</v>
      </c>
      <c r="AM32" s="109">
        <f t="shared" si="74"/>
        <v>2</v>
      </c>
      <c r="AN32" s="109">
        <f>IF(COUNTIF(AM$30:AM32,AM32)&gt;1,1,0)</f>
        <v>0</v>
      </c>
      <c r="AO32" s="109">
        <f t="shared" si="75"/>
        <v>1613621053</v>
      </c>
      <c r="AP32" s="109">
        <f t="shared" si="76"/>
        <v>2</v>
      </c>
      <c r="AQ32" s="109">
        <f>IF(COUNTIF(AP$30:AP32,AP32)&gt;1,1,0)</f>
        <v>0</v>
      </c>
      <c r="AR32" s="109">
        <f t="shared" si="77"/>
        <v>1613621053</v>
      </c>
      <c r="AS32" s="109">
        <f t="shared" si="78"/>
        <v>2</v>
      </c>
      <c r="AT32" s="109">
        <f>IF(COUNTIF(AS$30:AS32,AS32)&gt;1,1,0)</f>
        <v>0</v>
      </c>
      <c r="AU32" s="109">
        <f t="shared" si="79"/>
        <v>1613621053</v>
      </c>
      <c r="AV32" s="109">
        <f t="shared" si="80"/>
        <v>2</v>
      </c>
      <c r="AW32" s="109">
        <f>IF(COUNTIF(AV$30:AV32,AV32)&gt;1,1,0)</f>
        <v>0</v>
      </c>
      <c r="AX32" s="109">
        <f t="shared" si="81"/>
        <v>1613621053</v>
      </c>
      <c r="AY32" s="109">
        <f t="shared" si="82"/>
        <v>2</v>
      </c>
      <c r="AZ32" s="109">
        <f>IF(COUNTIF(AY$30:AY32,AY32)&gt;1,1,0)</f>
        <v>0</v>
      </c>
      <c r="BA32" s="109">
        <f t="shared" si="83"/>
        <v>1613621053</v>
      </c>
      <c r="BB32" s="109">
        <f t="shared" si="84"/>
        <v>2</v>
      </c>
      <c r="BC32" s="109">
        <f>IF(COUNTIF(BB$30:BB32,BB32)&gt;1,1,0)</f>
        <v>0</v>
      </c>
      <c r="BD32" s="109">
        <f t="shared" si="85"/>
        <v>1613621053</v>
      </c>
      <c r="BE32" s="109">
        <f t="shared" si="86"/>
        <v>2</v>
      </c>
    </row>
    <row r="33" spans="14:57" ht="16.5">
      <c r="N33" s="109">
        <f t="shared" si="59"/>
        <v>4</v>
      </c>
      <c r="O33" s="109" t="str">
        <f t="shared" si="60"/>
        <v>KCNW Berlin</v>
      </c>
      <c r="P33" s="109" t="s">
        <v>121</v>
      </c>
      <c r="Q33" s="109">
        <f t="shared" si="87"/>
        <v>4</v>
      </c>
      <c r="R33" s="109">
        <f t="shared" si="61"/>
        <v>2</v>
      </c>
      <c r="S33" s="109">
        <f t="shared" si="61"/>
        <v>1</v>
      </c>
      <c r="T33" s="109">
        <f t="shared" si="61"/>
        <v>24</v>
      </c>
      <c r="U33" s="109">
        <f t="shared" si="61"/>
        <v>13</v>
      </c>
      <c r="V33" s="109">
        <f t="shared" si="62"/>
        <v>14</v>
      </c>
      <c r="W33" s="109">
        <f t="shared" si="63"/>
        <v>1409964402</v>
      </c>
      <c r="X33" s="109">
        <f t="shared" si="64"/>
        <v>4</v>
      </c>
      <c r="Y33" s="109">
        <f>IF(COUNTIF(X$30:X33,X33)&gt;1,1,0)</f>
        <v>0</v>
      </c>
      <c r="Z33" s="109">
        <f t="shared" si="65"/>
        <v>1409964402</v>
      </c>
      <c r="AA33" s="109">
        <f t="shared" si="66"/>
        <v>4</v>
      </c>
      <c r="AB33" s="109">
        <f>IF(COUNTIF(AA$30:AA33,AA33)&gt;1,1,0)</f>
        <v>0</v>
      </c>
      <c r="AC33" s="109">
        <f t="shared" si="67"/>
        <v>1409964402</v>
      </c>
      <c r="AD33" s="109">
        <f t="shared" si="68"/>
        <v>4</v>
      </c>
      <c r="AE33" s="109">
        <f>IF(COUNTIF(AD$30:AD33,AD33)&gt;1,1,0)</f>
        <v>0</v>
      </c>
      <c r="AF33" s="109">
        <f t="shared" si="69"/>
        <v>1409964402</v>
      </c>
      <c r="AG33" s="109">
        <f t="shared" si="70"/>
        <v>4</v>
      </c>
      <c r="AH33" s="109">
        <f>IF(COUNTIF(AG$30:AG33,AG33)&gt;1,1,0)</f>
        <v>0</v>
      </c>
      <c r="AI33" s="109">
        <f t="shared" si="71"/>
        <v>1409964402</v>
      </c>
      <c r="AJ33" s="109">
        <f t="shared" si="72"/>
        <v>4</v>
      </c>
      <c r="AK33" s="109">
        <f>IF(COUNTIF(AJ$30:AJ33,AJ33)&gt;1,1,0)</f>
        <v>0</v>
      </c>
      <c r="AL33" s="109">
        <f t="shared" si="73"/>
        <v>1409964402</v>
      </c>
      <c r="AM33" s="109">
        <f t="shared" si="74"/>
        <v>4</v>
      </c>
      <c r="AN33" s="109">
        <f>IF(COUNTIF(AM$30:AM33,AM33)&gt;1,1,0)</f>
        <v>0</v>
      </c>
      <c r="AO33" s="109">
        <f t="shared" si="75"/>
        <v>1409964402</v>
      </c>
      <c r="AP33" s="109">
        <f t="shared" si="76"/>
        <v>4</v>
      </c>
      <c r="AQ33" s="109">
        <f>IF(COUNTIF(AP$30:AP33,AP33)&gt;1,1,0)</f>
        <v>0</v>
      </c>
      <c r="AR33" s="109">
        <f t="shared" si="77"/>
        <v>1409964402</v>
      </c>
      <c r="AS33" s="109">
        <f t="shared" si="78"/>
        <v>4</v>
      </c>
      <c r="AT33" s="109">
        <f>IF(COUNTIF(AS$30:AS33,AS33)&gt;1,1,0)</f>
        <v>0</v>
      </c>
      <c r="AU33" s="109">
        <f t="shared" si="79"/>
        <v>1409964402</v>
      </c>
      <c r="AV33" s="109">
        <f t="shared" si="80"/>
        <v>4</v>
      </c>
      <c r="AW33" s="109">
        <f>IF(COUNTIF(AV$30:AV33,AV33)&gt;1,1,0)</f>
        <v>0</v>
      </c>
      <c r="AX33" s="109">
        <f t="shared" si="81"/>
        <v>1409964402</v>
      </c>
      <c r="AY33" s="109">
        <f t="shared" si="82"/>
        <v>4</v>
      </c>
      <c r="AZ33" s="109">
        <f>IF(COUNTIF(AY$30:AY33,AY33)&gt;1,1,0)</f>
        <v>0</v>
      </c>
      <c r="BA33" s="109">
        <f t="shared" si="83"/>
        <v>1409964402</v>
      </c>
      <c r="BB33" s="109">
        <f t="shared" si="84"/>
        <v>4</v>
      </c>
      <c r="BC33" s="109">
        <f>IF(COUNTIF(BB$30:BB33,BB33)&gt;1,1,0)</f>
        <v>0</v>
      </c>
      <c r="BD33" s="109">
        <f t="shared" si="85"/>
        <v>1409964402</v>
      </c>
      <c r="BE33" s="109">
        <f t="shared" si="86"/>
        <v>4</v>
      </c>
    </row>
    <row r="34" spans="14:57" ht="16.5">
      <c r="N34" s="109">
        <f t="shared" si="59"/>
        <v>6</v>
      </c>
      <c r="O34" s="109" t="str">
        <f t="shared" si="60"/>
        <v>WSF Liblar</v>
      </c>
      <c r="P34" s="109" t="s">
        <v>121</v>
      </c>
      <c r="Q34" s="109">
        <f t="shared" si="87"/>
        <v>2</v>
      </c>
      <c r="R34" s="109">
        <f t="shared" si="61"/>
        <v>2</v>
      </c>
      <c r="S34" s="109">
        <f t="shared" si="61"/>
        <v>3</v>
      </c>
      <c r="T34" s="109">
        <f t="shared" si="61"/>
        <v>15</v>
      </c>
      <c r="U34" s="109">
        <f t="shared" si="61"/>
        <v>26</v>
      </c>
      <c r="V34" s="109">
        <f t="shared" si="62"/>
        <v>8</v>
      </c>
      <c r="W34" s="109">
        <f t="shared" si="63"/>
        <v>790338879</v>
      </c>
      <c r="X34" s="109">
        <f t="shared" si="64"/>
        <v>6</v>
      </c>
      <c r="Y34" s="109">
        <f>IF(COUNTIF(X$30:X34,X34)&gt;1,1,0)</f>
        <v>0</v>
      </c>
      <c r="Z34" s="109">
        <f t="shared" si="65"/>
        <v>790338879</v>
      </c>
      <c r="AA34" s="109">
        <f t="shared" si="66"/>
        <v>6</v>
      </c>
      <c r="AB34" s="109">
        <f>IF(COUNTIF(AA$30:AA34,AA34)&gt;1,1,0)</f>
        <v>0</v>
      </c>
      <c r="AC34" s="109">
        <f t="shared" si="67"/>
        <v>790338879</v>
      </c>
      <c r="AD34" s="109">
        <f t="shared" si="68"/>
        <v>6</v>
      </c>
      <c r="AE34" s="109">
        <f>IF(COUNTIF(AD$30:AD34,AD34)&gt;1,1,0)</f>
        <v>0</v>
      </c>
      <c r="AF34" s="109">
        <f t="shared" si="69"/>
        <v>790338879</v>
      </c>
      <c r="AG34" s="109">
        <f t="shared" si="70"/>
        <v>6</v>
      </c>
      <c r="AH34" s="109">
        <f>IF(COUNTIF(AG$30:AG34,AG34)&gt;1,1,0)</f>
        <v>0</v>
      </c>
      <c r="AI34" s="109">
        <f t="shared" si="71"/>
        <v>790338879</v>
      </c>
      <c r="AJ34" s="109">
        <f t="shared" si="72"/>
        <v>6</v>
      </c>
      <c r="AK34" s="109">
        <f>IF(COUNTIF(AJ$30:AJ34,AJ34)&gt;1,1,0)</f>
        <v>0</v>
      </c>
      <c r="AL34" s="109">
        <f t="shared" si="73"/>
        <v>790338879</v>
      </c>
      <c r="AM34" s="109">
        <f t="shared" si="74"/>
        <v>6</v>
      </c>
      <c r="AN34" s="109">
        <f>IF(COUNTIF(AM$30:AM34,AM34)&gt;1,1,0)</f>
        <v>0</v>
      </c>
      <c r="AO34" s="109">
        <f t="shared" si="75"/>
        <v>790338879</v>
      </c>
      <c r="AP34" s="109">
        <f t="shared" si="76"/>
        <v>6</v>
      </c>
      <c r="AQ34" s="109">
        <f>IF(COUNTIF(AP$30:AP34,AP34)&gt;1,1,0)</f>
        <v>0</v>
      </c>
      <c r="AR34" s="109">
        <f t="shared" si="77"/>
        <v>790338879</v>
      </c>
      <c r="AS34" s="109">
        <f t="shared" si="78"/>
        <v>6</v>
      </c>
      <c r="AT34" s="109">
        <f>IF(COUNTIF(AS$30:AS34,AS34)&gt;1,1,0)</f>
        <v>0</v>
      </c>
      <c r="AU34" s="109">
        <f t="shared" si="79"/>
        <v>790338879</v>
      </c>
      <c r="AV34" s="109">
        <f t="shared" si="80"/>
        <v>6</v>
      </c>
      <c r="AW34" s="109">
        <f>IF(COUNTIF(AV$30:AV34,AV34)&gt;1,1,0)</f>
        <v>0</v>
      </c>
      <c r="AX34" s="109">
        <f t="shared" si="81"/>
        <v>790338879</v>
      </c>
      <c r="AY34" s="109">
        <f t="shared" si="82"/>
        <v>6</v>
      </c>
      <c r="AZ34" s="109">
        <f>IF(COUNTIF(AY$30:AY34,AY34)&gt;1,1,0)</f>
        <v>0</v>
      </c>
      <c r="BA34" s="109">
        <f t="shared" si="83"/>
        <v>790338879</v>
      </c>
      <c r="BB34" s="109">
        <f t="shared" si="84"/>
        <v>6</v>
      </c>
      <c r="BC34" s="109">
        <f>IF(COUNTIF(BB$30:BB34,BB34)&gt;1,1,0)</f>
        <v>0</v>
      </c>
      <c r="BD34" s="109">
        <f t="shared" si="85"/>
        <v>790338879</v>
      </c>
      <c r="BE34" s="109">
        <f t="shared" si="86"/>
        <v>6</v>
      </c>
    </row>
    <row r="35" spans="14:57" ht="16.5">
      <c r="N35" s="109">
        <f t="shared" si="59"/>
        <v>7</v>
      </c>
      <c r="O35" s="109" t="str">
        <f t="shared" si="60"/>
        <v>KSVH Berlin</v>
      </c>
      <c r="P35" s="109" t="s">
        <v>121</v>
      </c>
      <c r="Q35" s="109">
        <f t="shared" si="87"/>
        <v>1</v>
      </c>
      <c r="R35" s="109">
        <f t="shared" si="61"/>
        <v>0</v>
      </c>
      <c r="S35" s="109">
        <f t="shared" si="61"/>
        <v>6</v>
      </c>
      <c r="T35" s="109">
        <f t="shared" si="61"/>
        <v>14</v>
      </c>
      <c r="U35" s="109">
        <f t="shared" si="61"/>
        <v>28</v>
      </c>
      <c r="V35" s="109">
        <f t="shared" si="62"/>
        <v>3</v>
      </c>
      <c r="W35" s="109">
        <f t="shared" si="63"/>
        <v>287664443</v>
      </c>
      <c r="X35" s="109">
        <f t="shared" si="64"/>
        <v>7</v>
      </c>
      <c r="Y35" s="109">
        <f>IF(COUNTIF(X$30:X35,X35)&gt;1,1,0)</f>
        <v>0</v>
      </c>
      <c r="Z35" s="109">
        <f t="shared" si="65"/>
        <v>287664443</v>
      </c>
      <c r="AA35" s="109">
        <f t="shared" si="66"/>
        <v>7</v>
      </c>
      <c r="AB35" s="109">
        <f>IF(COUNTIF(AA$30:AA35,AA35)&gt;1,1,0)</f>
        <v>0</v>
      </c>
      <c r="AC35" s="109">
        <f t="shared" si="67"/>
        <v>287664443</v>
      </c>
      <c r="AD35" s="109">
        <f t="shared" si="68"/>
        <v>7</v>
      </c>
      <c r="AE35" s="109">
        <f>IF(COUNTIF(AD$30:AD35,AD35)&gt;1,1,0)</f>
        <v>0</v>
      </c>
      <c r="AF35" s="109">
        <f t="shared" si="69"/>
        <v>287664443</v>
      </c>
      <c r="AG35" s="109">
        <f t="shared" si="70"/>
        <v>7</v>
      </c>
      <c r="AH35" s="109">
        <f>IF(COUNTIF(AG$30:AG35,AG35)&gt;1,1,0)</f>
        <v>0</v>
      </c>
      <c r="AI35" s="109">
        <f t="shared" si="71"/>
        <v>287664443</v>
      </c>
      <c r="AJ35" s="109">
        <f t="shared" si="72"/>
        <v>7</v>
      </c>
      <c r="AK35" s="109">
        <f>IF(COUNTIF(AJ$30:AJ35,AJ35)&gt;1,1,0)</f>
        <v>0</v>
      </c>
      <c r="AL35" s="109">
        <f t="shared" si="73"/>
        <v>287664443</v>
      </c>
      <c r="AM35" s="109">
        <f t="shared" si="74"/>
        <v>7</v>
      </c>
      <c r="AN35" s="109">
        <f>IF(COUNTIF(AM$30:AM35,AM35)&gt;1,1,0)</f>
        <v>0</v>
      </c>
      <c r="AO35" s="109">
        <f t="shared" si="75"/>
        <v>287664443</v>
      </c>
      <c r="AP35" s="109">
        <f t="shared" si="76"/>
        <v>7</v>
      </c>
      <c r="AQ35" s="109">
        <f>IF(COUNTIF(AP$30:AP35,AP35)&gt;1,1,0)</f>
        <v>0</v>
      </c>
      <c r="AR35" s="109">
        <f t="shared" si="77"/>
        <v>287664443</v>
      </c>
      <c r="AS35" s="109">
        <f t="shared" si="78"/>
        <v>7</v>
      </c>
      <c r="AT35" s="109">
        <f>IF(COUNTIF(AS$30:AS35,AS35)&gt;1,1,0)</f>
        <v>0</v>
      </c>
      <c r="AU35" s="109">
        <f t="shared" si="79"/>
        <v>287664443</v>
      </c>
      <c r="AV35" s="109">
        <f t="shared" si="80"/>
        <v>7</v>
      </c>
      <c r="AW35" s="109">
        <f>IF(COUNTIF(AV$30:AV35,AV35)&gt;1,1,0)</f>
        <v>0</v>
      </c>
      <c r="AX35" s="109">
        <f t="shared" si="81"/>
        <v>287664443</v>
      </c>
      <c r="AY35" s="109">
        <f t="shared" si="82"/>
        <v>7</v>
      </c>
      <c r="AZ35" s="109">
        <f>IF(COUNTIF(AY$30:AY35,AY35)&gt;1,1,0)</f>
        <v>0</v>
      </c>
      <c r="BA35" s="109">
        <f t="shared" si="83"/>
        <v>287664443</v>
      </c>
      <c r="BB35" s="109">
        <f t="shared" si="84"/>
        <v>7</v>
      </c>
      <c r="BC35" s="109">
        <f>IF(COUNTIF(BB$30:BB35,BB35)&gt;1,1,0)</f>
        <v>0</v>
      </c>
      <c r="BD35" s="109">
        <f t="shared" si="85"/>
        <v>287664443</v>
      </c>
      <c r="BE35" s="109">
        <f t="shared" si="86"/>
        <v>7</v>
      </c>
    </row>
    <row r="36" spans="14:57" ht="16.5">
      <c r="N36" s="109">
        <f t="shared" si="59"/>
        <v>5</v>
      </c>
      <c r="O36" s="109" t="str">
        <f t="shared" si="60"/>
        <v>1. MKC Duisburg</v>
      </c>
      <c r="P36" s="109" t="s">
        <v>121</v>
      </c>
      <c r="Q36" s="109">
        <f t="shared" si="87"/>
        <v>2</v>
      </c>
      <c r="R36" s="109">
        <f t="shared" si="61"/>
        <v>2</v>
      </c>
      <c r="S36" s="109">
        <f t="shared" si="61"/>
        <v>3</v>
      </c>
      <c r="T36" s="109">
        <f t="shared" si="61"/>
        <v>20</v>
      </c>
      <c r="U36" s="109">
        <f t="shared" si="61"/>
        <v>26</v>
      </c>
      <c r="V36" s="109">
        <f t="shared" si="62"/>
        <v>8</v>
      </c>
      <c r="W36" s="109">
        <f t="shared" si="63"/>
        <v>794822204</v>
      </c>
      <c r="X36" s="109">
        <f t="shared" si="64"/>
        <v>5</v>
      </c>
      <c r="Y36" s="109">
        <f>IF(COUNTIF(X$30:X36,X36)&gt;1,1,0)</f>
        <v>0</v>
      </c>
      <c r="Z36" s="109">
        <f t="shared" si="65"/>
        <v>794822204</v>
      </c>
      <c r="AA36" s="109">
        <f t="shared" si="66"/>
        <v>5</v>
      </c>
      <c r="AB36" s="109">
        <f>IF(COUNTIF(AA$30:AA36,AA36)&gt;1,1,0)</f>
        <v>0</v>
      </c>
      <c r="AC36" s="109">
        <f t="shared" si="67"/>
        <v>794822204</v>
      </c>
      <c r="AD36" s="109">
        <f t="shared" si="68"/>
        <v>5</v>
      </c>
      <c r="AE36" s="109">
        <f>IF(COUNTIF(AD$30:AD36,AD36)&gt;1,1,0)</f>
        <v>0</v>
      </c>
      <c r="AF36" s="109">
        <f t="shared" si="69"/>
        <v>794822204</v>
      </c>
      <c r="AG36" s="109">
        <f t="shared" si="70"/>
        <v>5</v>
      </c>
      <c r="AH36" s="109">
        <f>IF(COUNTIF(AG$30:AG36,AG36)&gt;1,1,0)</f>
        <v>0</v>
      </c>
      <c r="AI36" s="109">
        <f t="shared" si="71"/>
        <v>794822204</v>
      </c>
      <c r="AJ36" s="109">
        <f t="shared" si="72"/>
        <v>5</v>
      </c>
      <c r="AK36" s="109">
        <f>IF(COUNTIF(AJ$30:AJ36,AJ36)&gt;1,1,0)</f>
        <v>0</v>
      </c>
      <c r="AL36" s="109">
        <f t="shared" si="73"/>
        <v>794822204</v>
      </c>
      <c r="AM36" s="109">
        <f t="shared" si="74"/>
        <v>5</v>
      </c>
      <c r="AN36" s="109">
        <f>IF(COUNTIF(AM$30:AM36,AM36)&gt;1,1,0)</f>
        <v>0</v>
      </c>
      <c r="AO36" s="109">
        <f t="shared" si="75"/>
        <v>794822204</v>
      </c>
      <c r="AP36" s="109">
        <f t="shared" si="76"/>
        <v>5</v>
      </c>
      <c r="AQ36" s="109">
        <f>IF(COUNTIF(AP$30:AP36,AP36)&gt;1,1,0)</f>
        <v>0</v>
      </c>
      <c r="AR36" s="109">
        <f t="shared" si="77"/>
        <v>794822204</v>
      </c>
      <c r="AS36" s="109">
        <f t="shared" si="78"/>
        <v>5</v>
      </c>
      <c r="AT36" s="109">
        <f>IF(COUNTIF(AS$30:AS36,AS36)&gt;1,1,0)</f>
        <v>0</v>
      </c>
      <c r="AU36" s="109">
        <f t="shared" si="79"/>
        <v>794822204</v>
      </c>
      <c r="AV36" s="109">
        <f t="shared" si="80"/>
        <v>5</v>
      </c>
      <c r="AW36" s="109">
        <f>IF(COUNTIF(AV$30:AV36,AV36)&gt;1,1,0)</f>
        <v>0</v>
      </c>
      <c r="AX36" s="109">
        <f t="shared" si="81"/>
        <v>794822204</v>
      </c>
      <c r="AY36" s="109">
        <f t="shared" si="82"/>
        <v>5</v>
      </c>
      <c r="AZ36" s="109">
        <f>IF(COUNTIF(AY$30:AY36,AY36)&gt;1,1,0)</f>
        <v>0</v>
      </c>
      <c r="BA36" s="109">
        <f t="shared" si="83"/>
        <v>794822204</v>
      </c>
      <c r="BB36" s="109">
        <f t="shared" si="84"/>
        <v>5</v>
      </c>
      <c r="BC36" s="109">
        <f>IF(COUNTIF(BB$30:BB36,BB36)&gt;1,1,0)</f>
        <v>0</v>
      </c>
      <c r="BD36" s="109">
        <f t="shared" si="85"/>
        <v>794822204</v>
      </c>
      <c r="BE36" s="109">
        <f t="shared" si="86"/>
        <v>5</v>
      </c>
    </row>
    <row r="37" spans="14:57" ht="16.5">
      <c r="N37" s="109">
        <f t="shared" si="59"/>
        <v>8</v>
      </c>
      <c r="O37" s="109" t="str">
        <f t="shared" si="60"/>
        <v>KP Münster</v>
      </c>
      <c r="P37" s="109" t="s">
        <v>121</v>
      </c>
      <c r="Q37" s="109">
        <f t="shared" si="87"/>
        <v>0</v>
      </c>
      <c r="R37" s="109">
        <f t="shared" si="61"/>
        <v>0</v>
      </c>
      <c r="S37" s="109">
        <f t="shared" si="61"/>
        <v>7</v>
      </c>
      <c r="T37" s="109">
        <f t="shared" si="61"/>
        <v>11</v>
      </c>
      <c r="U37" s="109">
        <f t="shared" si="61"/>
        <v>44</v>
      </c>
      <c r="V37" s="109">
        <f t="shared" si="62"/>
        <v>0</v>
      </c>
      <c r="W37" s="109">
        <f t="shared" si="63"/>
        <v>-29247757</v>
      </c>
      <c r="X37" s="109">
        <f t="shared" si="64"/>
        <v>8</v>
      </c>
      <c r="Y37" s="109">
        <f>IF(COUNTIF(X$30:X37,X37)&gt;1,1,0)</f>
        <v>0</v>
      </c>
      <c r="Z37" s="109">
        <f t="shared" si="65"/>
        <v>-29247757</v>
      </c>
      <c r="AA37" s="109">
        <f t="shared" si="66"/>
        <v>8</v>
      </c>
      <c r="AB37" s="109">
        <f>IF(COUNTIF(AA$30:AA37,AA37)&gt;1,1,0)</f>
        <v>0</v>
      </c>
      <c r="AC37" s="109">
        <f t="shared" si="67"/>
        <v>-29247757</v>
      </c>
      <c r="AD37" s="109">
        <f t="shared" si="68"/>
        <v>8</v>
      </c>
      <c r="AE37" s="109">
        <f>IF(COUNTIF(AD$30:AD37,AD37)&gt;1,1,0)</f>
        <v>0</v>
      </c>
      <c r="AF37" s="109">
        <f t="shared" si="69"/>
        <v>-29247757</v>
      </c>
      <c r="AG37" s="109">
        <f t="shared" si="70"/>
        <v>8</v>
      </c>
      <c r="AH37" s="109">
        <f>IF(COUNTIF(AG$30:AG37,AG37)&gt;1,1,0)</f>
        <v>0</v>
      </c>
      <c r="AI37" s="109">
        <f t="shared" si="71"/>
        <v>-29247757</v>
      </c>
      <c r="AJ37" s="109">
        <f t="shared" si="72"/>
        <v>8</v>
      </c>
      <c r="AK37" s="109">
        <f>IF(COUNTIF(AJ$30:AJ37,AJ37)&gt;1,1,0)</f>
        <v>0</v>
      </c>
      <c r="AL37" s="109">
        <f t="shared" si="73"/>
        <v>-29247757</v>
      </c>
      <c r="AM37" s="109">
        <f t="shared" si="74"/>
        <v>8</v>
      </c>
      <c r="AN37" s="109">
        <f>IF(COUNTIF(AM$30:AM37,AM37)&gt;1,1,0)</f>
        <v>0</v>
      </c>
      <c r="AO37" s="109">
        <f t="shared" si="75"/>
        <v>-29247757</v>
      </c>
      <c r="AP37" s="109">
        <f t="shared" si="76"/>
        <v>8</v>
      </c>
      <c r="AQ37" s="109">
        <f>IF(COUNTIF(AP$30:AP37,AP37)&gt;1,1,0)</f>
        <v>0</v>
      </c>
      <c r="AR37" s="109">
        <f t="shared" si="77"/>
        <v>-29247757</v>
      </c>
      <c r="AS37" s="109">
        <f t="shared" si="78"/>
        <v>8</v>
      </c>
      <c r="AT37" s="109">
        <f>IF(COUNTIF(AS$30:AS37,AS37)&gt;1,1,0)</f>
        <v>0</v>
      </c>
      <c r="AU37" s="109">
        <f t="shared" si="79"/>
        <v>-29247757</v>
      </c>
      <c r="AV37" s="109">
        <f t="shared" si="80"/>
        <v>8</v>
      </c>
      <c r="AW37" s="109">
        <f>IF(COUNTIF(AV$30:AV37,AV37)&gt;1,1,0)</f>
        <v>0</v>
      </c>
      <c r="AX37" s="109">
        <f t="shared" si="81"/>
        <v>-29247757</v>
      </c>
      <c r="AY37" s="109">
        <f t="shared" si="82"/>
        <v>8</v>
      </c>
      <c r="AZ37" s="109">
        <f>IF(COUNTIF(AY$30:AY37,AY37)&gt;1,1,0)</f>
        <v>0</v>
      </c>
      <c r="BA37" s="109">
        <f t="shared" si="83"/>
        <v>-29247757</v>
      </c>
      <c r="BB37" s="109">
        <f t="shared" si="84"/>
        <v>8</v>
      </c>
      <c r="BC37" s="109">
        <f>IF(COUNTIF(BB$30:BB37,BB37)&gt;1,1,0)</f>
        <v>0</v>
      </c>
      <c r="BD37" s="109">
        <f t="shared" si="85"/>
        <v>-29247757</v>
      </c>
      <c r="BE37" s="109">
        <f t="shared" si="86"/>
        <v>8</v>
      </c>
    </row>
    <row r="38" spans="14:58" ht="16.5">
      <c r="N38" s="109"/>
      <c r="O38" s="109"/>
      <c r="P38" s="109"/>
      <c r="Q38" s="109">
        <f>SUM(Q30:S37)</f>
        <v>56</v>
      </c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</row>
    <row r="39" ht="16.5">
      <c r="BF39" s="109"/>
    </row>
    <row r="40" ht="16.5">
      <c r="BF40" s="109"/>
    </row>
    <row r="41" spans="13:58" ht="16.5">
      <c r="M41" s="18" t="s">
        <v>121</v>
      </c>
      <c r="N41" s="18">
        <v>1</v>
      </c>
      <c r="O41" s="18" t="str">
        <f>VLOOKUP(N41,$M$6:$O$13,3,FALSE)</f>
        <v>ACC Hamburg</v>
      </c>
      <c r="BF41" s="109"/>
    </row>
    <row r="42" spans="13:58" ht="16.5">
      <c r="M42" s="18" t="s">
        <v>121</v>
      </c>
      <c r="N42" s="18">
        <v>2</v>
      </c>
      <c r="O42" s="18" t="str">
        <f aca="true" t="shared" si="88" ref="O42:O48">VLOOKUP(N42,$M$6:$O$13,3,FALSE)</f>
        <v>PSC Coburg</v>
      </c>
      <c r="BF42" s="109"/>
    </row>
    <row r="43" spans="13:58" ht="16.5">
      <c r="M43" s="18" t="s">
        <v>121</v>
      </c>
      <c r="N43" s="18">
        <v>3</v>
      </c>
      <c r="O43" s="18" t="str">
        <f t="shared" si="88"/>
        <v>KRM Essen</v>
      </c>
      <c r="BF43" s="109"/>
    </row>
    <row r="44" spans="13:58" ht="16.5">
      <c r="M44" s="18" t="s">
        <v>121</v>
      </c>
      <c r="N44" s="18">
        <v>4</v>
      </c>
      <c r="O44" s="18" t="str">
        <f t="shared" si="88"/>
        <v>KCNW Berlin</v>
      </c>
      <c r="BF44" s="109"/>
    </row>
    <row r="45" spans="13:58" ht="16.5">
      <c r="M45" s="18" t="s">
        <v>121</v>
      </c>
      <c r="N45" s="18">
        <v>5</v>
      </c>
      <c r="O45" s="18" t="str">
        <f t="shared" si="88"/>
        <v>1. MKC Duisburg</v>
      </c>
      <c r="BF45" s="109"/>
    </row>
    <row r="46" spans="13:58" ht="16.5">
      <c r="M46" s="18" t="s">
        <v>121</v>
      </c>
      <c r="N46" s="18">
        <v>6</v>
      </c>
      <c r="O46" s="18" t="str">
        <f t="shared" si="88"/>
        <v>WSF Liblar</v>
      </c>
      <c r="BF46" s="109"/>
    </row>
    <row r="47" spans="13:58" ht="16.5">
      <c r="M47" s="18" t="s">
        <v>121</v>
      </c>
      <c r="N47" s="18">
        <v>7</v>
      </c>
      <c r="O47" s="18" t="str">
        <f t="shared" si="88"/>
        <v>KSVH Berlin</v>
      </c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</row>
    <row r="48" spans="13:58" ht="16.5">
      <c r="M48" s="18" t="s">
        <v>121</v>
      </c>
      <c r="N48" s="18">
        <v>8</v>
      </c>
      <c r="O48" s="18" t="str">
        <f t="shared" si="88"/>
        <v>KP Münster</v>
      </c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</row>
    <row r="49" spans="27:58" ht="16.5"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</row>
    <row r="53" spans="27:57" ht="16.5"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</row>
    <row r="54" spans="27:57" ht="16.5"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</row>
    <row r="55" spans="16:57" ht="16.5">
      <c r="P55" s="18" t="s">
        <v>45</v>
      </c>
      <c r="Q55" s="18" t="s">
        <v>46</v>
      </c>
      <c r="W55" s="18" t="s">
        <v>94</v>
      </c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</row>
    <row r="56" spans="15:57" ht="16.5">
      <c r="O56" s="18" t="str">
        <f aca="true" t="shared" si="89" ref="O56:O63">O30</f>
        <v>ACC Hamburg</v>
      </c>
      <c r="P56" s="18">
        <f>N6</f>
        <v>1</v>
      </c>
      <c r="Q56" s="18">
        <f>N18</f>
        <v>8</v>
      </c>
      <c r="W56" s="18">
        <v>0</v>
      </c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</row>
    <row r="57" spans="15:57" ht="16.5">
      <c r="O57" s="18" t="str">
        <f t="shared" si="89"/>
        <v>KRM Essen</v>
      </c>
      <c r="P57" s="18">
        <f aca="true" t="shared" si="90" ref="P57:P63">N7</f>
        <v>3</v>
      </c>
      <c r="Q57" s="18">
        <f aca="true" t="shared" si="91" ref="Q57:Q63">N19</f>
        <v>7</v>
      </c>
      <c r="W57" s="18">
        <v>1</v>
      </c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</row>
    <row r="58" spans="15:57" ht="16.5">
      <c r="O58" s="18" t="str">
        <f t="shared" si="89"/>
        <v>PSC Coburg</v>
      </c>
      <c r="P58" s="18">
        <f t="shared" si="90"/>
        <v>2</v>
      </c>
      <c r="Q58" s="18">
        <f t="shared" si="91"/>
        <v>6</v>
      </c>
      <c r="W58" s="18">
        <v>2</v>
      </c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</row>
    <row r="59" spans="15:57" ht="16.5">
      <c r="O59" s="18" t="str">
        <f t="shared" si="89"/>
        <v>KCNW Berlin</v>
      </c>
      <c r="P59" s="18">
        <f t="shared" si="90"/>
        <v>4</v>
      </c>
      <c r="Q59" s="18">
        <f t="shared" si="91"/>
        <v>5</v>
      </c>
      <c r="W59" s="18">
        <v>3</v>
      </c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</row>
    <row r="60" spans="15:57" ht="16.5">
      <c r="O60" s="18" t="str">
        <f t="shared" si="89"/>
        <v>WSF Liblar</v>
      </c>
      <c r="P60" s="18">
        <f t="shared" si="90"/>
        <v>6</v>
      </c>
      <c r="Q60" s="18">
        <f t="shared" si="91"/>
        <v>4</v>
      </c>
      <c r="W60" s="18">
        <v>4</v>
      </c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</row>
    <row r="61" spans="15:57" ht="16.5">
      <c r="O61" s="18" t="str">
        <f t="shared" si="89"/>
        <v>KSVH Berlin</v>
      </c>
      <c r="P61" s="18">
        <f t="shared" si="90"/>
        <v>7</v>
      </c>
      <c r="Q61" s="18">
        <f t="shared" si="91"/>
        <v>3</v>
      </c>
      <c r="W61" s="18">
        <v>5</v>
      </c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</row>
    <row r="62" spans="15:57" ht="16.5">
      <c r="O62" s="18" t="str">
        <f t="shared" si="89"/>
        <v>1. MKC Duisburg</v>
      </c>
      <c r="P62" s="18">
        <f t="shared" si="90"/>
        <v>5</v>
      </c>
      <c r="Q62" s="18">
        <f t="shared" si="91"/>
        <v>2</v>
      </c>
      <c r="W62" s="18">
        <v>6</v>
      </c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</row>
    <row r="63" spans="15:57" ht="16.5">
      <c r="O63" s="18" t="str">
        <f t="shared" si="89"/>
        <v>KP Münster</v>
      </c>
      <c r="P63" s="18">
        <f t="shared" si="90"/>
        <v>8</v>
      </c>
      <c r="Q63" s="18">
        <f t="shared" si="91"/>
        <v>1</v>
      </c>
      <c r="W63" s="18">
        <v>7</v>
      </c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</row>
    <row r="64" spans="27:57" ht="16.5"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</row>
    <row r="65" spans="27:57" ht="16.5"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</row>
  </sheetData>
  <sheetProtection sheet="1" selectLockedCells="1"/>
  <mergeCells count="1">
    <mergeCell ref="W5:Z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B2:S64"/>
  <sheetViews>
    <sheetView showGridLines="0" showRowColHeaders="0" view="pageLayout" showRuler="0" zoomScale="70" zoomScaleNormal="70" zoomScalePageLayoutView="70" workbookViewId="0" topLeftCell="A1">
      <selection activeCell="D11" sqref="D11:E11"/>
    </sheetView>
  </sheetViews>
  <sheetFormatPr defaultColWidth="11.421875" defaultRowHeight="15"/>
  <cols>
    <col min="1" max="1" width="11.421875" style="42" customWidth="1"/>
    <col min="2" max="2" width="4.8515625" style="42" customWidth="1"/>
    <col min="3" max="3" width="15.7109375" style="42" customWidth="1"/>
    <col min="4" max="4" width="4.00390625" style="42" customWidth="1"/>
    <col min="5" max="5" width="19.00390625" style="42" customWidth="1"/>
    <col min="6" max="6" width="4.7109375" style="42" customWidth="1"/>
    <col min="7" max="7" width="15.7109375" style="42" customWidth="1"/>
    <col min="8" max="8" width="4.00390625" style="42" customWidth="1"/>
    <col min="9" max="9" width="19.00390625" style="42" customWidth="1"/>
    <col min="10" max="10" width="3.57421875" style="42" customWidth="1"/>
    <col min="11" max="11" width="6.140625" style="42" customWidth="1"/>
    <col min="12" max="12" width="25.00390625" style="42" customWidth="1"/>
    <col min="13" max="13" width="5.140625" style="42" customWidth="1"/>
    <col min="14" max="14" width="1.57421875" style="42" customWidth="1"/>
    <col min="15" max="15" width="5.140625" style="42" customWidth="1"/>
    <col min="16" max="16" width="25.00390625" style="42" customWidth="1"/>
    <col min="17" max="19" width="14.8515625" style="42" customWidth="1"/>
    <col min="20" max="16384" width="11.421875" style="42" customWidth="1"/>
  </cols>
  <sheetData>
    <row r="2" spans="2:19" ht="16.5">
      <c r="B2" s="170" t="s">
        <v>56</v>
      </c>
      <c r="C2" s="170"/>
      <c r="D2" s="170"/>
      <c r="E2" s="170"/>
      <c r="F2" s="170"/>
      <c r="L2" s="43" t="s">
        <v>84</v>
      </c>
      <c r="M2" s="199" t="s">
        <v>28</v>
      </c>
      <c r="N2" s="199"/>
      <c r="O2" s="199"/>
      <c r="P2" s="44" t="s">
        <v>85</v>
      </c>
      <c r="Q2" s="192" t="s">
        <v>88</v>
      </c>
      <c r="R2" s="193"/>
      <c r="S2" s="193"/>
    </row>
    <row r="3" spans="2:19" ht="20.25">
      <c r="B3" s="170"/>
      <c r="C3" s="170"/>
      <c r="D3" s="170"/>
      <c r="E3" s="170"/>
      <c r="F3" s="170"/>
      <c r="L3" s="45" t="str">
        <f>B39</f>
        <v>ACC Hamburg</v>
      </c>
      <c r="M3" s="200"/>
      <c r="N3" s="200"/>
      <c r="O3" s="200"/>
      <c r="P3" s="46" t="str">
        <f>F39</f>
        <v>KP Münster</v>
      </c>
      <c r="Q3" s="193"/>
      <c r="R3" s="193"/>
      <c r="S3" s="193"/>
    </row>
    <row r="4" spans="2:19" ht="16.5">
      <c r="B4" s="170" t="s">
        <v>57</v>
      </c>
      <c r="C4" s="170"/>
      <c r="D4" s="170"/>
      <c r="E4" s="170"/>
      <c r="F4" s="170"/>
      <c r="K4" s="47" t="s">
        <v>59</v>
      </c>
      <c r="L4" s="47" t="s">
        <v>60</v>
      </c>
      <c r="M4" s="169" t="s">
        <v>61</v>
      </c>
      <c r="N4" s="169"/>
      <c r="O4" s="169"/>
      <c r="P4" s="47" t="s">
        <v>60</v>
      </c>
      <c r="Q4" s="193"/>
      <c r="R4" s="193"/>
      <c r="S4" s="193"/>
    </row>
    <row r="5" spans="2:19" ht="16.5">
      <c r="B5" s="170"/>
      <c r="C5" s="170"/>
      <c r="D5" s="170"/>
      <c r="E5" s="170"/>
      <c r="F5" s="170"/>
      <c r="K5" s="47"/>
      <c r="L5" s="47"/>
      <c r="M5" s="169" t="s">
        <v>28</v>
      </c>
      <c r="N5" s="169"/>
      <c r="O5" s="169"/>
      <c r="P5" s="47"/>
      <c r="Q5" s="169"/>
      <c r="R5" s="169"/>
      <c r="S5" s="169"/>
    </row>
    <row r="6" spans="2:19" ht="16.5">
      <c r="B6" s="194" t="s">
        <v>58</v>
      </c>
      <c r="C6" s="194"/>
      <c r="D6" s="194"/>
      <c r="E6" s="194"/>
      <c r="F6" s="194"/>
      <c r="K6" s="47"/>
      <c r="L6" s="47"/>
      <c r="M6" s="169" t="s">
        <v>28</v>
      </c>
      <c r="N6" s="169"/>
      <c r="O6" s="169"/>
      <c r="P6" s="47"/>
      <c r="Q6" s="169"/>
      <c r="R6" s="169"/>
      <c r="S6" s="169"/>
    </row>
    <row r="7" spans="11:19" ht="16.5" customHeight="1">
      <c r="K7" s="47"/>
      <c r="L7" s="47"/>
      <c r="M7" s="169" t="s">
        <v>28</v>
      </c>
      <c r="N7" s="169"/>
      <c r="O7" s="169"/>
      <c r="P7" s="47"/>
      <c r="Q7" s="169"/>
      <c r="R7" s="169"/>
      <c r="S7" s="169"/>
    </row>
    <row r="8" spans="2:19" ht="16.5" customHeight="1">
      <c r="B8" s="195" t="s">
        <v>62</v>
      </c>
      <c r="C8" s="195"/>
      <c r="D8" s="195" t="str">
        <f>"1. Liga Damen "&amp;Saisondaten!B3</f>
        <v>1. Liga Damen 2019</v>
      </c>
      <c r="E8" s="195"/>
      <c r="F8" s="195"/>
      <c r="G8" s="195" t="str">
        <f>VLOOKUP($D$11,SpieleDB!$A$2:$J$99,8,FALSE)</f>
        <v>Hinrunde</v>
      </c>
      <c r="H8" s="166" t="str">
        <f>"in "&amp;VLOOKUP($D$11,SpieleDB!$A$2:$J$99,9,FALSE)</f>
        <v>in Liblar</v>
      </c>
      <c r="I8" s="166"/>
      <c r="K8" s="47"/>
      <c r="L8" s="47"/>
      <c r="M8" s="169" t="s">
        <v>28</v>
      </c>
      <c r="N8" s="169"/>
      <c r="O8" s="169"/>
      <c r="P8" s="47"/>
      <c r="Q8" s="169"/>
      <c r="R8" s="169"/>
      <c r="S8" s="169"/>
    </row>
    <row r="9" spans="2:19" ht="16.5" customHeight="1">
      <c r="B9" s="195"/>
      <c r="C9" s="195"/>
      <c r="D9" s="195"/>
      <c r="E9" s="195"/>
      <c r="F9" s="195"/>
      <c r="G9" s="195"/>
      <c r="H9" s="166">
        <f>VLOOKUP($D$11,SpieleDB!$A$2:$J$99,10,FALSE)</f>
        <v>43596</v>
      </c>
      <c r="I9" s="166"/>
      <c r="K9" s="47"/>
      <c r="L9" s="47"/>
      <c r="M9" s="169" t="s">
        <v>28</v>
      </c>
      <c r="N9" s="169"/>
      <c r="O9" s="169"/>
      <c r="P9" s="47"/>
      <c r="Q9" s="169"/>
      <c r="R9" s="169"/>
      <c r="S9" s="169"/>
    </row>
    <row r="10" spans="11:19" ht="16.5">
      <c r="K10" s="47"/>
      <c r="L10" s="47"/>
      <c r="M10" s="169" t="s">
        <v>28</v>
      </c>
      <c r="N10" s="169"/>
      <c r="O10" s="169"/>
      <c r="P10" s="47"/>
      <c r="Q10" s="169"/>
      <c r="R10" s="169"/>
      <c r="S10" s="169"/>
    </row>
    <row r="11" spans="2:19" ht="16.5">
      <c r="B11" s="171" t="s">
        <v>63</v>
      </c>
      <c r="C11" s="171"/>
      <c r="D11" s="167">
        <v>1</v>
      </c>
      <c r="E11" s="167"/>
      <c r="G11" s="184" t="s">
        <v>91</v>
      </c>
      <c r="H11" s="185"/>
      <c r="I11" s="186"/>
      <c r="K11" s="47"/>
      <c r="L11" s="47"/>
      <c r="M11" s="169" t="s">
        <v>28</v>
      </c>
      <c r="N11" s="169"/>
      <c r="O11" s="169"/>
      <c r="P11" s="47"/>
      <c r="Q11" s="169"/>
      <c r="R11" s="169"/>
      <c r="S11" s="169"/>
    </row>
    <row r="12" spans="2:19" ht="16.5">
      <c r="B12" s="171" t="s">
        <v>64</v>
      </c>
      <c r="C12" s="171"/>
      <c r="D12" s="168">
        <f>VLOOKUP($D$11,SpieleDB!$A$2:$J$99,4,FALSE)</f>
        <v>0.3541666666666667</v>
      </c>
      <c r="E12" s="168"/>
      <c r="G12" s="187"/>
      <c r="H12" s="188"/>
      <c r="I12" s="189"/>
      <c r="K12" s="47"/>
      <c r="L12" s="47"/>
      <c r="M12" s="169" t="s">
        <v>28</v>
      </c>
      <c r="N12" s="169"/>
      <c r="O12" s="169"/>
      <c r="P12" s="47"/>
      <c r="Q12" s="169"/>
      <c r="R12" s="169"/>
      <c r="S12" s="169"/>
    </row>
    <row r="13" spans="2:19" ht="16.5">
      <c r="B13" s="171" t="s">
        <v>65</v>
      </c>
      <c r="C13" s="171"/>
      <c r="D13" s="169">
        <f>VLOOKUP($D$11,SpieleDB!$A$2:$J$99,3,FALSE)</f>
        <v>1</v>
      </c>
      <c r="E13" s="169"/>
      <c r="G13" s="215"/>
      <c r="H13" s="216"/>
      <c r="I13" s="217"/>
      <c r="K13" s="47"/>
      <c r="L13" s="47"/>
      <c r="M13" s="169" t="s">
        <v>28</v>
      </c>
      <c r="N13" s="169"/>
      <c r="O13" s="169"/>
      <c r="P13" s="47"/>
      <c r="Q13" s="169"/>
      <c r="R13" s="169"/>
      <c r="S13" s="169"/>
    </row>
    <row r="14" spans="2:19" ht="16.5">
      <c r="B14" s="171" t="s">
        <v>6</v>
      </c>
      <c r="C14" s="171"/>
      <c r="D14" s="169" t="str">
        <f>VLOOKUP($D$11,SpieleDB!$A$2:$J$99,5,FALSE)</f>
        <v>Damen</v>
      </c>
      <c r="E14" s="169"/>
      <c r="G14" s="218"/>
      <c r="H14" s="219"/>
      <c r="I14" s="220"/>
      <c r="K14" s="47"/>
      <c r="L14" s="47"/>
      <c r="M14" s="169" t="s">
        <v>28</v>
      </c>
      <c r="N14" s="169"/>
      <c r="O14" s="169"/>
      <c r="P14" s="47"/>
      <c r="Q14" s="169"/>
      <c r="R14" s="169"/>
      <c r="S14" s="169"/>
    </row>
    <row r="15" spans="2:19" ht="16.5">
      <c r="B15" s="171" t="s">
        <v>66</v>
      </c>
      <c r="C15" s="171"/>
      <c r="D15" s="196">
        <f>VLOOKUP($D$11,SpieleDB!$A$2:$J$99,10,FALSE)</f>
        <v>43596</v>
      </c>
      <c r="E15" s="196"/>
      <c r="G15" s="218"/>
      <c r="H15" s="219"/>
      <c r="I15" s="220"/>
      <c r="K15" s="47"/>
      <c r="L15" s="47"/>
      <c r="M15" s="169" t="s">
        <v>28</v>
      </c>
      <c r="N15" s="169"/>
      <c r="O15" s="169"/>
      <c r="P15" s="47"/>
      <c r="Q15" s="169"/>
      <c r="R15" s="169"/>
      <c r="S15" s="169"/>
    </row>
    <row r="16" spans="2:19" ht="16.5">
      <c r="B16" s="171" t="s">
        <v>67</v>
      </c>
      <c r="C16" s="171"/>
      <c r="D16" s="169" t="s">
        <v>68</v>
      </c>
      <c r="E16" s="169"/>
      <c r="G16" s="218"/>
      <c r="H16" s="219"/>
      <c r="I16" s="220"/>
      <c r="K16" s="47"/>
      <c r="L16" s="47"/>
      <c r="M16" s="169" t="s">
        <v>28</v>
      </c>
      <c r="N16" s="169"/>
      <c r="O16" s="169"/>
      <c r="P16" s="47"/>
      <c r="Q16" s="169"/>
      <c r="R16" s="169"/>
      <c r="S16" s="169"/>
    </row>
    <row r="17" spans="2:19" ht="16.5">
      <c r="B17" s="171" t="s">
        <v>69</v>
      </c>
      <c r="C17" s="171"/>
      <c r="D17" s="169" t="s">
        <v>70</v>
      </c>
      <c r="E17" s="169"/>
      <c r="G17" s="218"/>
      <c r="H17" s="219"/>
      <c r="I17" s="220"/>
      <c r="K17" s="47"/>
      <c r="L17" s="47"/>
      <c r="M17" s="169" t="s">
        <v>28</v>
      </c>
      <c r="N17" s="169"/>
      <c r="O17" s="169"/>
      <c r="P17" s="47"/>
      <c r="Q17" s="169"/>
      <c r="R17" s="169"/>
      <c r="S17" s="169"/>
    </row>
    <row r="18" spans="7:19" ht="16.5">
      <c r="G18" s="218"/>
      <c r="H18" s="219"/>
      <c r="I18" s="220"/>
      <c r="K18" s="47"/>
      <c r="L18" s="47"/>
      <c r="M18" s="169" t="s">
        <v>28</v>
      </c>
      <c r="N18" s="169"/>
      <c r="O18" s="169"/>
      <c r="P18" s="47"/>
      <c r="Q18" s="169"/>
      <c r="R18" s="169"/>
      <c r="S18" s="169"/>
    </row>
    <row r="19" spans="2:19" ht="16.5">
      <c r="B19" s="201" t="s">
        <v>71</v>
      </c>
      <c r="C19" s="202"/>
      <c r="D19" s="205" t="str">
        <f>VLOOKUP($D$11,Schiedsrichter!$A$1:$U$132,8,FALSE)</f>
        <v>KRM Essen</v>
      </c>
      <c r="E19" s="202"/>
      <c r="G19" s="218"/>
      <c r="H19" s="219"/>
      <c r="I19" s="220"/>
      <c r="K19" s="47"/>
      <c r="L19" s="47"/>
      <c r="M19" s="169" t="s">
        <v>28</v>
      </c>
      <c r="N19" s="169"/>
      <c r="O19" s="169"/>
      <c r="P19" s="47"/>
      <c r="Q19" s="169"/>
      <c r="R19" s="169"/>
      <c r="S19" s="169"/>
    </row>
    <row r="20" spans="2:19" ht="16.5">
      <c r="B20" s="203"/>
      <c r="C20" s="204"/>
      <c r="D20" s="173" t="str">
        <f>VLOOKUP($D$11,Schiedsrichter!$A$1:$U$132,9,FALSE)</f>
        <v>1. MKC Duisburg</v>
      </c>
      <c r="E20" s="174"/>
      <c r="G20" s="218"/>
      <c r="H20" s="219"/>
      <c r="I20" s="220"/>
      <c r="K20" s="47"/>
      <c r="L20" s="47"/>
      <c r="M20" s="169" t="s">
        <v>28</v>
      </c>
      <c r="N20" s="169"/>
      <c r="O20" s="169"/>
      <c r="P20" s="47"/>
      <c r="Q20" s="169"/>
      <c r="R20" s="169"/>
      <c r="S20" s="169"/>
    </row>
    <row r="21" spans="7:19" ht="16.5">
      <c r="G21" s="218"/>
      <c r="H21" s="219"/>
      <c r="I21" s="220"/>
      <c r="K21" s="47"/>
      <c r="L21" s="47"/>
      <c r="M21" s="169" t="s">
        <v>28</v>
      </c>
      <c r="N21" s="169"/>
      <c r="O21" s="169"/>
      <c r="P21" s="47"/>
      <c r="Q21" s="169"/>
      <c r="R21" s="169"/>
      <c r="S21" s="169"/>
    </row>
    <row r="22" spans="2:19" ht="16.5">
      <c r="B22" s="197" t="s">
        <v>92</v>
      </c>
      <c r="C22" s="198"/>
      <c r="D22" s="173"/>
      <c r="E22" s="174"/>
      <c r="G22" s="218"/>
      <c r="H22" s="219"/>
      <c r="I22" s="220"/>
      <c r="K22" s="47"/>
      <c r="L22" s="47"/>
      <c r="M22" s="169" t="s">
        <v>28</v>
      </c>
      <c r="N22" s="169"/>
      <c r="O22" s="169"/>
      <c r="P22" s="47"/>
      <c r="Q22" s="169"/>
      <c r="R22" s="169"/>
      <c r="S22" s="169"/>
    </row>
    <row r="23" spans="2:19" ht="16.5">
      <c r="B23" s="197" t="s">
        <v>93</v>
      </c>
      <c r="C23" s="198"/>
      <c r="D23" s="173"/>
      <c r="E23" s="174"/>
      <c r="G23" s="218"/>
      <c r="H23" s="219"/>
      <c r="I23" s="220"/>
      <c r="K23" s="47"/>
      <c r="L23" s="47"/>
      <c r="M23" s="169" t="s">
        <v>28</v>
      </c>
      <c r="N23" s="169"/>
      <c r="O23" s="169"/>
      <c r="P23" s="47"/>
      <c r="Q23" s="169"/>
      <c r="R23" s="169"/>
      <c r="S23" s="169"/>
    </row>
    <row r="24" spans="2:19" ht="16.5">
      <c r="B24" s="197" t="s">
        <v>73</v>
      </c>
      <c r="C24" s="198"/>
      <c r="D24" s="173"/>
      <c r="E24" s="174"/>
      <c r="G24" s="218"/>
      <c r="H24" s="219"/>
      <c r="I24" s="220"/>
      <c r="K24" s="47"/>
      <c r="L24" s="47"/>
      <c r="M24" s="169" t="s">
        <v>28</v>
      </c>
      <c r="N24" s="169"/>
      <c r="O24" s="169"/>
      <c r="P24" s="47"/>
      <c r="Q24" s="169"/>
      <c r="R24" s="169"/>
      <c r="S24" s="169"/>
    </row>
    <row r="25" spans="2:19" ht="16.5">
      <c r="B25" s="197" t="s">
        <v>87</v>
      </c>
      <c r="C25" s="198"/>
      <c r="D25" s="173"/>
      <c r="E25" s="174"/>
      <c r="G25" s="218"/>
      <c r="H25" s="219"/>
      <c r="I25" s="220"/>
      <c r="K25" s="47"/>
      <c r="L25" s="47"/>
      <c r="M25" s="169" t="s">
        <v>28</v>
      </c>
      <c r="N25" s="169"/>
      <c r="O25" s="169"/>
      <c r="P25" s="47"/>
      <c r="Q25" s="169"/>
      <c r="R25" s="169"/>
      <c r="S25" s="169"/>
    </row>
    <row r="26" spans="2:19" ht="16.5">
      <c r="B26" s="197" t="s">
        <v>86</v>
      </c>
      <c r="C26" s="198"/>
      <c r="D26" s="173"/>
      <c r="E26" s="174"/>
      <c r="G26" s="218"/>
      <c r="H26" s="219"/>
      <c r="I26" s="220"/>
      <c r="K26" s="47"/>
      <c r="L26" s="47"/>
      <c r="M26" s="169" t="s">
        <v>28</v>
      </c>
      <c r="N26" s="169"/>
      <c r="O26" s="169"/>
      <c r="P26" s="47"/>
      <c r="Q26" s="169"/>
      <c r="R26" s="169"/>
      <c r="S26" s="169"/>
    </row>
    <row r="27" spans="2:19" ht="16.5">
      <c r="B27" s="197" t="s">
        <v>74</v>
      </c>
      <c r="C27" s="198"/>
      <c r="D27" s="173"/>
      <c r="E27" s="174"/>
      <c r="G27" s="218"/>
      <c r="H27" s="219"/>
      <c r="I27" s="220"/>
      <c r="K27" s="47"/>
      <c r="L27" s="47"/>
      <c r="M27" s="169" t="s">
        <v>28</v>
      </c>
      <c r="N27" s="169"/>
      <c r="O27" s="169"/>
      <c r="P27" s="47"/>
      <c r="Q27" s="169"/>
      <c r="R27" s="169"/>
      <c r="S27" s="169"/>
    </row>
    <row r="28" spans="2:19" ht="16.5">
      <c r="B28" s="197" t="s">
        <v>74</v>
      </c>
      <c r="C28" s="198"/>
      <c r="D28" s="173"/>
      <c r="E28" s="174"/>
      <c r="G28" s="218"/>
      <c r="H28" s="219"/>
      <c r="I28" s="220"/>
      <c r="K28" s="47"/>
      <c r="L28" s="47"/>
      <c r="M28" s="169" t="s">
        <v>28</v>
      </c>
      <c r="N28" s="169"/>
      <c r="O28" s="169"/>
      <c r="P28" s="47"/>
      <c r="Q28" s="169"/>
      <c r="R28" s="169"/>
      <c r="S28" s="169"/>
    </row>
    <row r="29" spans="2:19" ht="16.5">
      <c r="B29" s="197" t="s">
        <v>75</v>
      </c>
      <c r="C29" s="198"/>
      <c r="D29" s="173"/>
      <c r="E29" s="174"/>
      <c r="G29" s="221"/>
      <c r="H29" s="222"/>
      <c r="I29" s="223"/>
      <c r="K29" s="47"/>
      <c r="L29" s="47"/>
      <c r="M29" s="169" t="s">
        <v>28</v>
      </c>
      <c r="N29" s="169"/>
      <c r="O29" s="169"/>
      <c r="P29" s="47"/>
      <c r="Q29" s="169"/>
      <c r="R29" s="169"/>
      <c r="S29" s="169"/>
    </row>
    <row r="30" spans="11:19" ht="16.5">
      <c r="K30" s="47"/>
      <c r="L30" s="47"/>
      <c r="M30" s="169" t="s">
        <v>28</v>
      </c>
      <c r="N30" s="169"/>
      <c r="O30" s="169"/>
      <c r="P30" s="47"/>
      <c r="Q30" s="169"/>
      <c r="R30" s="169"/>
      <c r="S30" s="169"/>
    </row>
    <row r="31" spans="2:19" ht="16.5">
      <c r="B31" s="183" t="s">
        <v>76</v>
      </c>
      <c r="C31" s="181"/>
      <c r="D31" s="181"/>
      <c r="E31" s="48"/>
      <c r="F31" s="48"/>
      <c r="G31" s="48"/>
      <c r="H31" s="48"/>
      <c r="I31" s="49"/>
      <c r="K31" s="47"/>
      <c r="L31" s="47"/>
      <c r="M31" s="169" t="s">
        <v>28</v>
      </c>
      <c r="N31" s="169"/>
      <c r="O31" s="169"/>
      <c r="P31" s="47"/>
      <c r="Q31" s="169"/>
      <c r="R31" s="169"/>
      <c r="S31" s="169"/>
    </row>
    <row r="32" spans="2:19" ht="16.5">
      <c r="B32" s="209" t="str">
        <f>IF(VLOOKUP($D$11,SpieleDB!$A$2:$J$99,2,FALSE)="T","Tabellenspiel","Entscheidungsspiel")</f>
        <v>Tabellenspiel</v>
      </c>
      <c r="C32" s="210"/>
      <c r="D32" s="210"/>
      <c r="E32" s="210"/>
      <c r="F32" s="210"/>
      <c r="G32" s="210"/>
      <c r="H32" s="210"/>
      <c r="I32" s="211"/>
      <c r="K32" s="47"/>
      <c r="L32" s="47"/>
      <c r="M32" s="169" t="s">
        <v>28</v>
      </c>
      <c r="N32" s="169"/>
      <c r="O32" s="169"/>
      <c r="P32" s="47"/>
      <c r="Q32" s="169"/>
      <c r="R32" s="169"/>
      <c r="S32" s="169"/>
    </row>
    <row r="33" spans="2:19" ht="16.5">
      <c r="B33" s="209"/>
      <c r="C33" s="210"/>
      <c r="D33" s="210"/>
      <c r="E33" s="210"/>
      <c r="F33" s="210"/>
      <c r="G33" s="210"/>
      <c r="H33" s="210"/>
      <c r="I33" s="211"/>
      <c r="K33" s="47"/>
      <c r="L33" s="47"/>
      <c r="M33" s="169" t="s">
        <v>28</v>
      </c>
      <c r="N33" s="169"/>
      <c r="O33" s="169"/>
      <c r="P33" s="47"/>
      <c r="Q33" s="169"/>
      <c r="R33" s="169"/>
      <c r="S33" s="169"/>
    </row>
    <row r="34" spans="2:19" ht="16.5">
      <c r="B34" s="209"/>
      <c r="C34" s="210"/>
      <c r="D34" s="210"/>
      <c r="E34" s="210"/>
      <c r="F34" s="210"/>
      <c r="G34" s="210"/>
      <c r="H34" s="210"/>
      <c r="I34" s="211"/>
      <c r="K34" s="47"/>
      <c r="L34" s="47"/>
      <c r="M34" s="169" t="s">
        <v>28</v>
      </c>
      <c r="N34" s="169"/>
      <c r="O34" s="169"/>
      <c r="P34" s="47"/>
      <c r="Q34" s="169"/>
      <c r="R34" s="169"/>
      <c r="S34" s="169"/>
    </row>
    <row r="35" spans="2:19" ht="16.5">
      <c r="B35" s="212"/>
      <c r="C35" s="213"/>
      <c r="D35" s="213"/>
      <c r="E35" s="213"/>
      <c r="F35" s="213"/>
      <c r="G35" s="213"/>
      <c r="H35" s="213"/>
      <c r="I35" s="214"/>
      <c r="K35" s="47"/>
      <c r="L35" s="47"/>
      <c r="M35" s="169" t="s">
        <v>28</v>
      </c>
      <c r="N35" s="169"/>
      <c r="O35" s="169"/>
      <c r="P35" s="47"/>
      <c r="Q35" s="169"/>
      <c r="R35" s="169"/>
      <c r="S35" s="169"/>
    </row>
    <row r="36" ht="8.25" customHeight="1"/>
    <row r="37" ht="8.25" customHeight="1">
      <c r="C37" s="42" t="s">
        <v>72</v>
      </c>
    </row>
    <row r="38" spans="2:16" ht="16.5" customHeight="1">
      <c r="B38" s="175" t="s">
        <v>84</v>
      </c>
      <c r="C38" s="176"/>
      <c r="D38" s="176"/>
      <c r="E38" s="176"/>
      <c r="F38" s="175" t="s">
        <v>85</v>
      </c>
      <c r="G38" s="176"/>
      <c r="H38" s="176"/>
      <c r="I38" s="177"/>
      <c r="L38" s="170" t="str">
        <f>B39</f>
        <v>ACC Hamburg</v>
      </c>
      <c r="M38" s="170"/>
      <c r="N38" s="170" t="s">
        <v>28</v>
      </c>
      <c r="O38" s="170" t="str">
        <f>F39</f>
        <v>KP Münster</v>
      </c>
      <c r="P38" s="170"/>
    </row>
    <row r="39" spans="2:16" ht="20.25" customHeight="1">
      <c r="B39" s="206" t="str">
        <f>VLOOKUP($D$11,SpieleDB!$A$2:$J$99,6,FALSE)</f>
        <v>ACC Hamburg</v>
      </c>
      <c r="C39" s="207" t="str">
        <f>VLOOKUP($D$11,SpieleDB!$A$2:$J$99,2,FALSE)</f>
        <v>T</v>
      </c>
      <c r="D39" s="207" t="str">
        <f>VLOOKUP($D$11,SpieleDB!$A$2:$J$99,2,FALSE)</f>
        <v>T</v>
      </c>
      <c r="E39" s="207" t="str">
        <f>VLOOKUP($D$11,SpieleDB!$A$2:$J$99,2,FALSE)</f>
        <v>T</v>
      </c>
      <c r="F39" s="206" t="str">
        <f>VLOOKUP($D$11,SpieleDB!$A$2:$J$99,7,FALSE)</f>
        <v>KP Münster</v>
      </c>
      <c r="G39" s="207" t="str">
        <f>VLOOKUP($D$11,SpieleDB!$A$2:$J$99,2,FALSE)</f>
        <v>T</v>
      </c>
      <c r="H39" s="207" t="str">
        <f>VLOOKUP($D$11,SpieleDB!$A$2:$J$99,2,FALSE)</f>
        <v>T</v>
      </c>
      <c r="I39" s="208" t="str">
        <f>VLOOKUP($D$11,SpieleDB!$A$2:$J$99,2,FALSE)</f>
        <v>T</v>
      </c>
      <c r="L39" s="170"/>
      <c r="M39" s="170"/>
      <c r="N39" s="170"/>
      <c r="O39" s="170"/>
      <c r="P39" s="170"/>
    </row>
    <row r="40" spans="2:9" ht="16.5">
      <c r="B40" s="50" t="s">
        <v>77</v>
      </c>
      <c r="C40" s="182" t="s">
        <v>14</v>
      </c>
      <c r="D40" s="182"/>
      <c r="E40" s="50" t="s">
        <v>15</v>
      </c>
      <c r="F40" s="50" t="s">
        <v>77</v>
      </c>
      <c r="G40" s="182" t="s">
        <v>14</v>
      </c>
      <c r="H40" s="182"/>
      <c r="I40" s="50" t="s">
        <v>15</v>
      </c>
    </row>
    <row r="41" spans="2:15" ht="16.5">
      <c r="B41" s="47">
        <f>IF(VLOOKUP(VLOOKUP($B$39,TabellenDB!$O$56:$W$67,9,FALSE)*10+$B55,SpielerDB!$B$2:$F$81,2,FALSE)="ja",VLOOKUP(VLOOKUP($B$39,TabellenDB!$O$56:$W$67,9,FALSE)*10+$B55,SpielerDB!$B$2:$F$81,3,FALSE),"")</f>
      </c>
      <c r="C41" s="169">
        <f>IF(VLOOKUP(VLOOKUP($B$39,TabellenDB!$O$56:$W$67,9,FALSE)*10+$B55,SpielerDB!$B$2:$F$81,2,FALSE)="ja",VLOOKUP(VLOOKUP($B$39,TabellenDB!$O$56:$W$67,9,FALSE)*10+$B55,SpielerDB!$B$2:$F$81,4,FALSE),"")</f>
      </c>
      <c r="D41" s="169"/>
      <c r="E41" s="47">
        <f>IF(VLOOKUP(VLOOKUP($B$39,TabellenDB!$O$56:$W$67,9,FALSE)*10+$B55,SpielerDB!$B$2:$F$81,2,FALSE)="ja",VLOOKUP(VLOOKUP($B$39,TabellenDB!$O$56:$W$67,9,FALSE)*10+$B55,SpielerDB!$B$2:$F$81,5,FALSE),"")</f>
      </c>
      <c r="F41" s="47">
        <f>IF(VLOOKUP(VLOOKUP($F$39,TabellenDB!$O$56:$W$67,9,FALSE)*10+$B55,SpielerDB!$B$2:$F$81,2,FALSE)="ja",VLOOKUP(VLOOKUP($F$39,TabellenDB!$O$56:$W$67,9,FALSE)*10+$B55,SpielerDB!$B$2:$F$81,3,FALSE),"")</f>
      </c>
      <c r="G41" s="169">
        <f>IF(VLOOKUP(VLOOKUP($F$39,TabellenDB!$O$56:$W$67,9,FALSE)*10+$B55,SpielerDB!$B$2:$F$81,2,FALSE)="ja",VLOOKUP(VLOOKUP($F$39,TabellenDB!$O$56:$W$67,9,FALSE)*10+$B55,SpielerDB!$B$2:$F$81,4,FALSE),"")</f>
      </c>
      <c r="H41" s="169"/>
      <c r="I41" s="47">
        <f>IF(VLOOKUP(VLOOKUP($F$39,TabellenDB!$O$56:$W$67,9,FALSE)*10+$B55,SpielerDB!$B$2:$F$81,2,FALSE)="ja",VLOOKUP(VLOOKUP($F$39,TabellenDB!$O$56:$W$67,9,FALSE)*10+$B55,SpielerDB!$B$2:$F$81,5,FALSE),"")</f>
      </c>
      <c r="L41" s="51" t="s">
        <v>78</v>
      </c>
      <c r="M41" s="52"/>
      <c r="N41" s="42" t="s">
        <v>28</v>
      </c>
      <c r="O41" s="52"/>
    </row>
    <row r="42" spans="2:9" ht="16.5">
      <c r="B42" s="47">
        <f>IF(VLOOKUP(VLOOKUP($B$39,TabellenDB!$O$56:$W$67,9,FALSE)*10+$B56,SpielerDB!$B$2:$F$81,2,FALSE)="ja",VLOOKUP(VLOOKUP($B$39,TabellenDB!$O$56:$W$67,9,FALSE)*10+$B56,SpielerDB!$B$2:$F$81,3,FALSE),"")</f>
      </c>
      <c r="C42" s="169">
        <f>IF(VLOOKUP(VLOOKUP($B$39,TabellenDB!$O$56:$W$67,9,FALSE)*10+$B56,SpielerDB!$B$2:$F$81,2,FALSE)="ja",VLOOKUP(VLOOKUP($B$39,TabellenDB!$O$56:$W$67,9,FALSE)*10+$B56,SpielerDB!$B$2:$F$81,4,FALSE),"")</f>
      </c>
      <c r="D42" s="169"/>
      <c r="E42" s="47">
        <f>IF(VLOOKUP(VLOOKUP($B$39,TabellenDB!$O$56:$W$67,9,FALSE)*10+$B56,SpielerDB!$B$2:$F$81,2,FALSE)="ja",VLOOKUP(VLOOKUP($B$39,TabellenDB!$O$56:$W$67,9,FALSE)*10+$B56,SpielerDB!$B$2:$F$81,5,FALSE),"")</f>
      </c>
      <c r="F42" s="47">
        <f>IF(VLOOKUP(VLOOKUP($F$39,TabellenDB!$O$56:$W$67,9,FALSE)*10+$B56,SpielerDB!$B$2:$F$81,2,FALSE)="ja",VLOOKUP(VLOOKUP($F$39,TabellenDB!$O$56:$W$67,9,FALSE)*10+$B56,SpielerDB!$B$2:$F$81,3,FALSE),"")</f>
      </c>
      <c r="G42" s="169">
        <f>IF(VLOOKUP(VLOOKUP($F$39,TabellenDB!$O$56:$W$67,9,FALSE)*10+$B56,SpielerDB!$B$2:$F$81,2,FALSE)="ja",VLOOKUP(VLOOKUP($F$39,TabellenDB!$O$56:$W$67,9,FALSE)*10+$B56,SpielerDB!$B$2:$F$81,4,FALSE),"")</f>
      </c>
      <c r="H42" s="169"/>
      <c r="I42" s="47">
        <f>IF(VLOOKUP(VLOOKUP($F$39,TabellenDB!$O$56:$W$67,9,FALSE)*10+$B56,SpielerDB!$B$2:$F$81,2,FALSE)="ja",VLOOKUP(VLOOKUP($F$39,TabellenDB!$O$56:$W$67,9,FALSE)*10+$B56,SpielerDB!$B$2:$F$81,5,FALSE),"")</f>
      </c>
    </row>
    <row r="43" spans="2:14" ht="16.5">
      <c r="B43" s="47">
        <f>IF(VLOOKUP(VLOOKUP($B$39,TabellenDB!$O$56:$W$67,9,FALSE)*10+$B57,SpielerDB!$B$2:$F$81,2,FALSE)="ja",VLOOKUP(VLOOKUP($B$39,TabellenDB!$O$56:$W$67,9,FALSE)*10+$B57,SpielerDB!$B$2:$F$81,3,FALSE),"")</f>
      </c>
      <c r="C43" s="169">
        <f>IF(VLOOKUP(VLOOKUP($B$39,TabellenDB!$O$56:$W$67,9,FALSE)*10+$B57,SpielerDB!$B$2:$F$81,2,FALSE)="ja",VLOOKUP(VLOOKUP($B$39,TabellenDB!$O$56:$W$67,9,FALSE)*10+$B57,SpielerDB!$B$2:$F$81,4,FALSE),"")</f>
      </c>
      <c r="D43" s="169"/>
      <c r="E43" s="47">
        <f>IF(VLOOKUP(VLOOKUP($B$39,TabellenDB!$O$56:$W$67,9,FALSE)*10+$B57,SpielerDB!$B$2:$F$81,2,FALSE)="ja",VLOOKUP(VLOOKUP($B$39,TabellenDB!$O$56:$W$67,9,FALSE)*10+$B57,SpielerDB!$B$2:$F$81,5,FALSE),"")</f>
      </c>
      <c r="F43" s="47">
        <f>IF(VLOOKUP(VLOOKUP($F$39,TabellenDB!$O$56:$W$67,9,FALSE)*10+$B57,SpielerDB!$B$2:$F$81,2,FALSE)="ja",VLOOKUP(VLOOKUP($F$39,TabellenDB!$O$56:$W$67,9,FALSE)*10+$B57,SpielerDB!$B$2:$F$81,3,FALSE),"")</f>
      </c>
      <c r="G43" s="169">
        <f>IF(VLOOKUP(VLOOKUP($F$39,TabellenDB!$O$56:$W$67,9,FALSE)*10+$B57,SpielerDB!$B$2:$F$81,2,FALSE)="ja",VLOOKUP(VLOOKUP($F$39,TabellenDB!$O$56:$W$67,9,FALSE)*10+$B57,SpielerDB!$B$2:$F$81,4,FALSE),"")</f>
      </c>
      <c r="H43" s="169"/>
      <c r="I43" s="47">
        <f>IF(VLOOKUP(VLOOKUP($F$39,TabellenDB!$O$56:$W$67,9,FALSE)*10+$B57,SpielerDB!$B$2:$F$81,2,FALSE)="ja",VLOOKUP(VLOOKUP($F$39,TabellenDB!$O$56:$W$67,9,FALSE)*10+$B57,SpielerDB!$B$2:$F$81,5,FALSE),"")</f>
      </c>
      <c r="L43" s="172" t="s">
        <v>79</v>
      </c>
      <c r="N43" s="172" t="s">
        <v>28</v>
      </c>
    </row>
    <row r="44" spans="2:15" ht="16.5">
      <c r="B44" s="47">
        <f>IF(VLOOKUP(VLOOKUP($B$39,TabellenDB!$O$56:$W$67,9,FALSE)*10+$B58,SpielerDB!$B$2:$F$81,2,FALSE)="ja",VLOOKUP(VLOOKUP($B$39,TabellenDB!$O$56:$W$67,9,FALSE)*10+$B58,SpielerDB!$B$2:$F$81,3,FALSE),"")</f>
      </c>
      <c r="C44" s="169">
        <f>IF(VLOOKUP(VLOOKUP($B$39,TabellenDB!$O$56:$W$67,9,FALSE)*10+$B58,SpielerDB!$B$2:$F$81,2,FALSE)="ja",VLOOKUP(VLOOKUP($B$39,TabellenDB!$O$56:$W$67,9,FALSE)*10+$B58,SpielerDB!$B$2:$F$81,4,FALSE),"")</f>
      </c>
      <c r="D44" s="169"/>
      <c r="E44" s="47">
        <f>IF(VLOOKUP(VLOOKUP($B$39,TabellenDB!$O$56:$W$67,9,FALSE)*10+$B58,SpielerDB!$B$2:$F$81,2,FALSE)="ja",VLOOKUP(VLOOKUP($B$39,TabellenDB!$O$56:$W$67,9,FALSE)*10+$B58,SpielerDB!$B$2:$F$81,5,FALSE),"")</f>
      </c>
      <c r="F44" s="47">
        <f>IF(VLOOKUP(VLOOKUP($F$39,TabellenDB!$O$56:$W$67,9,FALSE)*10+$B58,SpielerDB!$B$2:$F$81,2,FALSE)="ja",VLOOKUP(VLOOKUP($F$39,TabellenDB!$O$56:$W$67,9,FALSE)*10+$B58,SpielerDB!$B$2:$F$81,3,FALSE),"")</f>
      </c>
      <c r="G44" s="169">
        <f>IF(VLOOKUP(VLOOKUP($F$39,TabellenDB!$O$56:$W$67,9,FALSE)*10+$B58,SpielerDB!$B$2:$F$81,2,FALSE)="ja",VLOOKUP(VLOOKUP($F$39,TabellenDB!$O$56:$W$67,9,FALSE)*10+$B58,SpielerDB!$B$2:$F$81,4,FALSE),"")</f>
      </c>
      <c r="H44" s="169"/>
      <c r="I44" s="47">
        <f>IF(VLOOKUP(VLOOKUP($F$39,TabellenDB!$O$56:$W$67,9,FALSE)*10+$B58,SpielerDB!$B$2:$F$81,2,FALSE)="ja",VLOOKUP(VLOOKUP($F$39,TabellenDB!$O$56:$W$67,9,FALSE)*10+$B58,SpielerDB!$B$2:$F$81,5,FALSE),"")</f>
      </c>
      <c r="L44" s="172"/>
      <c r="M44" s="52"/>
      <c r="N44" s="172"/>
      <c r="O44" s="52"/>
    </row>
    <row r="45" spans="2:9" ht="16.5">
      <c r="B45" s="47">
        <f>IF(VLOOKUP(VLOOKUP($B$39,TabellenDB!$O$56:$W$67,9,FALSE)*10+$B59,SpielerDB!$B$2:$F$81,2,FALSE)="ja",VLOOKUP(VLOOKUP($B$39,TabellenDB!$O$56:$W$67,9,FALSE)*10+$B59,SpielerDB!$B$2:$F$81,3,FALSE),"")</f>
      </c>
      <c r="C45" s="169">
        <f>IF(VLOOKUP(VLOOKUP($B$39,TabellenDB!$O$56:$W$67,9,FALSE)*10+$B59,SpielerDB!$B$2:$F$81,2,FALSE)="ja",VLOOKUP(VLOOKUP($B$39,TabellenDB!$O$56:$W$67,9,FALSE)*10+$B59,SpielerDB!$B$2:$F$81,4,FALSE),"")</f>
      </c>
      <c r="D45" s="169"/>
      <c r="E45" s="47">
        <f>IF(VLOOKUP(VLOOKUP($B$39,TabellenDB!$O$56:$W$67,9,FALSE)*10+$B59,SpielerDB!$B$2:$F$81,2,FALSE)="ja",VLOOKUP(VLOOKUP($B$39,TabellenDB!$O$56:$W$67,9,FALSE)*10+$B59,SpielerDB!$B$2:$F$81,5,FALSE),"")</f>
      </c>
      <c r="F45" s="47">
        <f>IF(VLOOKUP(VLOOKUP($F$39,TabellenDB!$O$56:$W$67,9,FALSE)*10+$B59,SpielerDB!$B$2:$F$81,2,FALSE)="ja",VLOOKUP(VLOOKUP($F$39,TabellenDB!$O$56:$W$67,9,FALSE)*10+$B59,SpielerDB!$B$2:$F$81,3,FALSE),"")</f>
      </c>
      <c r="G45" s="169">
        <f>IF(VLOOKUP(VLOOKUP($F$39,TabellenDB!$O$56:$W$67,9,FALSE)*10+$B59,SpielerDB!$B$2:$F$81,2,FALSE)="ja",VLOOKUP(VLOOKUP($F$39,TabellenDB!$O$56:$W$67,9,FALSE)*10+$B59,SpielerDB!$B$2:$F$81,4,FALSE),"")</f>
      </c>
      <c r="H45" s="169"/>
      <c r="I45" s="47">
        <f>IF(VLOOKUP(VLOOKUP($F$39,TabellenDB!$O$56:$W$67,9,FALSE)*10+$B59,SpielerDB!$B$2:$F$81,2,FALSE)="ja",VLOOKUP(VLOOKUP($F$39,TabellenDB!$O$56:$W$67,9,FALSE)*10+$B59,SpielerDB!$B$2:$F$81,5,FALSE),"")</f>
      </c>
    </row>
    <row r="46" spans="2:18" ht="16.5">
      <c r="B46" s="47">
        <f>IF(VLOOKUP(VLOOKUP($B$39,TabellenDB!$O$56:$W$67,9,FALSE)*10+$B60,SpielerDB!$B$2:$F$81,2,FALSE)="ja",VLOOKUP(VLOOKUP($B$39,TabellenDB!$O$56:$W$67,9,FALSE)*10+$B60,SpielerDB!$B$2:$F$81,3,FALSE),"")</f>
      </c>
      <c r="C46" s="169">
        <f>IF(VLOOKUP(VLOOKUP($B$39,TabellenDB!$O$56:$W$67,9,FALSE)*10+$B60,SpielerDB!$B$2:$F$81,2,FALSE)="ja",VLOOKUP(VLOOKUP($B$39,TabellenDB!$O$56:$W$67,9,FALSE)*10+$B60,SpielerDB!$B$2:$F$81,4,FALSE),"")</f>
      </c>
      <c r="D46" s="169"/>
      <c r="E46" s="47">
        <f>IF(VLOOKUP(VLOOKUP($B$39,TabellenDB!$O$56:$W$67,9,FALSE)*10+$B60,SpielerDB!$B$2:$F$81,2,FALSE)="ja",VLOOKUP(VLOOKUP($B$39,TabellenDB!$O$56:$W$67,9,FALSE)*10+$B60,SpielerDB!$B$2:$F$81,5,FALSE),"")</f>
      </c>
      <c r="F46" s="47">
        <f>IF(VLOOKUP(VLOOKUP($F$39,TabellenDB!$O$56:$W$67,9,FALSE)*10+$B60,SpielerDB!$B$2:$F$81,2,FALSE)="ja",VLOOKUP(VLOOKUP($F$39,TabellenDB!$O$56:$W$67,9,FALSE)*10+$B60,SpielerDB!$B$2:$F$81,3,FALSE),"")</f>
      </c>
      <c r="G46" s="169">
        <f>IF(VLOOKUP(VLOOKUP($F$39,TabellenDB!$O$56:$W$67,9,FALSE)*10+$B60,SpielerDB!$B$2:$F$81,2,FALSE)="ja",VLOOKUP(VLOOKUP($F$39,TabellenDB!$O$56:$W$67,9,FALSE)*10+$B60,SpielerDB!$B$2:$F$81,4,FALSE),"")</f>
      </c>
      <c r="H46" s="169"/>
      <c r="I46" s="47">
        <f>IF(VLOOKUP(VLOOKUP($F$39,TabellenDB!$O$56:$W$67,9,FALSE)*10+$B60,SpielerDB!$B$2:$F$81,2,FALSE)="ja",VLOOKUP(VLOOKUP($F$39,TabellenDB!$O$56:$W$67,9,FALSE)*10+$B60,SpielerDB!$B$2:$F$81,5,FALSE),"")</f>
      </c>
      <c r="L46" s="178" t="s">
        <v>80</v>
      </c>
      <c r="M46" s="178"/>
      <c r="O46" s="47"/>
      <c r="P46" s="53" t="s">
        <v>89</v>
      </c>
      <c r="R46" s="179" t="s">
        <v>27</v>
      </c>
    </row>
    <row r="47" spans="2:18" ht="16.5" customHeight="1">
      <c r="B47" s="47">
        <f>IF(VLOOKUP(VLOOKUP($B$39,TabellenDB!$O$56:$W$67,9,FALSE)*10+$B61,SpielerDB!$B$2:$F$81,2,FALSE)="ja",VLOOKUP(VLOOKUP($B$39,TabellenDB!$O$56:$W$67,9,FALSE)*10+$B61,SpielerDB!$B$2:$F$81,3,FALSE),"")</f>
      </c>
      <c r="C47" s="169">
        <f>IF(VLOOKUP(VLOOKUP($B$39,TabellenDB!$O$56:$W$67,9,FALSE)*10+$B61,SpielerDB!$B$2:$F$81,2,FALSE)="ja",VLOOKUP(VLOOKUP($B$39,TabellenDB!$O$56:$W$67,9,FALSE)*10+$B61,SpielerDB!$B$2:$F$81,4,FALSE),"")</f>
      </c>
      <c r="D47" s="169"/>
      <c r="E47" s="47">
        <f>IF(VLOOKUP(VLOOKUP($B$39,TabellenDB!$O$56:$W$67,9,FALSE)*10+$B61,SpielerDB!$B$2:$F$81,2,FALSE)="ja",VLOOKUP(VLOOKUP($B$39,TabellenDB!$O$56:$W$67,9,FALSE)*10+$B61,SpielerDB!$B$2:$F$81,5,FALSE),"")</f>
      </c>
      <c r="F47" s="47">
        <f>IF(VLOOKUP(VLOOKUP($F$39,TabellenDB!$O$56:$W$67,9,FALSE)*10+$B61,SpielerDB!$B$2:$F$81,2,FALSE)="ja",VLOOKUP(VLOOKUP($F$39,TabellenDB!$O$56:$W$67,9,FALSE)*10+$B61,SpielerDB!$B$2:$F$81,3,FALSE),"")</f>
      </c>
      <c r="G47" s="169">
        <f>IF(VLOOKUP(VLOOKUP($F$39,TabellenDB!$O$56:$W$67,9,FALSE)*10+$B61,SpielerDB!$B$2:$F$81,2,FALSE)="ja",VLOOKUP(VLOOKUP($F$39,TabellenDB!$O$56:$W$67,9,FALSE)*10+$B61,SpielerDB!$B$2:$F$81,4,FALSE),"")</f>
      </c>
      <c r="H47" s="169"/>
      <c r="I47" s="47">
        <f>IF(VLOOKUP(VLOOKUP($F$39,TabellenDB!$O$56:$W$67,9,FALSE)*10+$B61,SpielerDB!$B$2:$F$81,2,FALSE)="ja",VLOOKUP(VLOOKUP($F$39,TabellenDB!$O$56:$W$67,9,FALSE)*10+$B61,SpielerDB!$B$2:$F$81,5,FALSE),"")</f>
      </c>
      <c r="L47" s="178"/>
      <c r="M47" s="178"/>
      <c r="O47" s="47"/>
      <c r="P47" s="53" t="s">
        <v>90</v>
      </c>
      <c r="R47" s="179"/>
    </row>
    <row r="48" spans="2:18" ht="16.5" customHeight="1">
      <c r="B48" s="47">
        <f>IF(VLOOKUP(VLOOKUP($B$39,TabellenDB!$O$56:$W$67,9,FALSE)*10+$B62,SpielerDB!$B$2:$F$81,2,FALSE)="ja",VLOOKUP(VLOOKUP($B$39,TabellenDB!$O$56:$W$67,9,FALSE)*10+$B62,SpielerDB!$B$2:$F$81,3,FALSE),"")</f>
      </c>
      <c r="C48" s="169">
        <f>IF(VLOOKUP(VLOOKUP($B$39,TabellenDB!$O$56:$W$67,9,FALSE)*10+$B62,SpielerDB!$B$2:$F$81,2,FALSE)="ja",VLOOKUP(VLOOKUP($B$39,TabellenDB!$O$56:$W$67,9,FALSE)*10+$B62,SpielerDB!$B$2:$F$81,4,FALSE),"")</f>
      </c>
      <c r="D48" s="169"/>
      <c r="E48" s="47">
        <f>IF(VLOOKUP(VLOOKUP($B$39,TabellenDB!$O$56:$W$67,9,FALSE)*10+$B62,SpielerDB!$B$2:$F$81,2,FALSE)="ja",VLOOKUP(VLOOKUP($B$39,TabellenDB!$O$56:$W$67,9,FALSE)*10+$B62,SpielerDB!$B$2:$F$81,5,FALSE),"")</f>
      </c>
      <c r="F48" s="47">
        <f>IF(VLOOKUP(VLOOKUP($F$39,TabellenDB!$O$56:$W$67,9,FALSE)*10+$B62,SpielerDB!$B$2:$F$81,2,FALSE)="ja",VLOOKUP(VLOOKUP($F$39,TabellenDB!$O$56:$W$67,9,FALSE)*10+$B62,SpielerDB!$B$2:$F$81,3,FALSE),"")</f>
      </c>
      <c r="G48" s="169">
        <f>IF(VLOOKUP(VLOOKUP($F$39,TabellenDB!$O$56:$W$67,9,FALSE)*10+$B62,SpielerDB!$B$2:$F$81,2,FALSE)="ja",VLOOKUP(VLOOKUP($F$39,TabellenDB!$O$56:$W$67,9,FALSE)*10+$B62,SpielerDB!$B$2:$F$81,4,FALSE),"")</f>
      </c>
      <c r="H48" s="169"/>
      <c r="I48" s="47">
        <f>IF(VLOOKUP(VLOOKUP($F$39,TabellenDB!$O$56:$W$67,9,FALSE)*10+$B62,SpielerDB!$B$2:$F$81,2,FALSE)="ja",VLOOKUP(VLOOKUP($F$39,TabellenDB!$O$56:$W$67,9,FALSE)*10+$B62,SpielerDB!$B$2:$F$81,5,FALSE),"")</f>
      </c>
      <c r="R48" s="180"/>
    </row>
    <row r="49" spans="2:19" ht="16.5">
      <c r="B49" s="47">
        <f>IF(VLOOKUP(VLOOKUP($B$39,TabellenDB!$O$56:$W$67,9,FALSE)*10+$B63,SpielerDB!$B$2:$F$81,2,FALSE)="ja",VLOOKUP(VLOOKUP($B$39,TabellenDB!$O$56:$W$67,9,FALSE)*10+$B63,SpielerDB!$B$2:$F$81,3,FALSE),"")</f>
      </c>
      <c r="C49" s="169">
        <f>IF(VLOOKUP(VLOOKUP($B$39,TabellenDB!$O$56:$W$67,9,FALSE)*10+$B63,SpielerDB!$B$2:$F$81,2,FALSE)="ja",VLOOKUP(VLOOKUP($B$39,TabellenDB!$O$56:$W$67,9,FALSE)*10+$B63,SpielerDB!$B$2:$F$81,4,FALSE),"")</f>
      </c>
      <c r="D49" s="169"/>
      <c r="E49" s="47">
        <f>IF(VLOOKUP(VLOOKUP($B$39,TabellenDB!$O$56:$W$67,9,FALSE)*10+$B63,SpielerDB!$B$2:$F$81,2,FALSE)="ja",VLOOKUP(VLOOKUP($B$39,TabellenDB!$O$56:$W$67,9,FALSE)*10+$B63,SpielerDB!$B$2:$F$81,5,FALSE),"")</f>
      </c>
      <c r="F49" s="47">
        <f>IF(VLOOKUP(VLOOKUP($F$39,TabellenDB!$O$56:$W$67,9,FALSE)*10+$B63,SpielerDB!$B$2:$F$81,2,FALSE)="ja",VLOOKUP(VLOOKUP($F$39,TabellenDB!$O$56:$W$67,9,FALSE)*10+$B63,SpielerDB!$B$2:$F$81,3,FALSE),"")</f>
      </c>
      <c r="G49" s="169">
        <f>IF(VLOOKUP(VLOOKUP($F$39,TabellenDB!$O$56:$W$67,9,FALSE)*10+$B63,SpielerDB!$B$2:$F$81,2,FALSE)="ja",VLOOKUP(VLOOKUP($F$39,TabellenDB!$O$56:$W$67,9,FALSE)*10+$B63,SpielerDB!$B$2:$F$81,4,FALSE),"")</f>
      </c>
      <c r="H49" s="169"/>
      <c r="I49" s="47">
        <f>IF(VLOOKUP(VLOOKUP($F$39,TabellenDB!$O$56:$W$67,9,FALSE)*10+$B63,SpielerDB!$B$2:$F$81,2,FALSE)="ja",VLOOKUP(VLOOKUP($F$39,TabellenDB!$O$56:$W$67,9,FALSE)*10+$B63,SpielerDB!$B$2:$F$81,5,FALSE),"")</f>
      </c>
      <c r="L49" s="178" t="s">
        <v>81</v>
      </c>
      <c r="M49" s="169"/>
      <c r="N49" s="169"/>
      <c r="O49" s="169"/>
      <c r="Q49" s="190" t="s">
        <v>82</v>
      </c>
      <c r="R49" s="190"/>
      <c r="S49" s="190"/>
    </row>
    <row r="50" spans="2:19" ht="16.5">
      <c r="B50" s="47">
        <f>IF(VLOOKUP(VLOOKUP($B$39,TabellenDB!$O$56:$W$67,9,FALSE)*10+$B64,SpielerDB!$B$2:$F$81,2,FALSE)="ja",VLOOKUP(VLOOKUP($B$39,TabellenDB!$O$56:$W$67,9,FALSE)*10+$B64,SpielerDB!$B$2:$F$81,3,FALSE),"")</f>
      </c>
      <c r="C50" s="169">
        <f>IF(VLOOKUP(VLOOKUP($B$39,TabellenDB!$O$56:$W$67,9,FALSE)*10+$B64,SpielerDB!$B$2:$F$81,2,FALSE)="ja",VLOOKUP(VLOOKUP($B$39,TabellenDB!$O$56:$W$67,9,FALSE)*10+$B64,SpielerDB!$B$2:$F$81,4,FALSE),"")</f>
      </c>
      <c r="D50" s="169"/>
      <c r="E50" s="47">
        <f>IF(VLOOKUP(VLOOKUP($B$39,TabellenDB!$O$56:$W$67,9,FALSE)*10+$B64,SpielerDB!$B$2:$F$81,2,FALSE)="ja",VLOOKUP(VLOOKUP($B$39,TabellenDB!$O$56:$W$67,9,FALSE)*10+$B64,SpielerDB!$B$2:$F$81,5,FALSE),"")</f>
      </c>
      <c r="F50" s="47">
        <f>IF(VLOOKUP(VLOOKUP($F$39,TabellenDB!$O$56:$W$67,9,FALSE)*10+$B64,SpielerDB!$B$2:$F$81,2,FALSE)="ja",VLOOKUP(VLOOKUP($F$39,TabellenDB!$O$56:$W$67,9,FALSE)*10+$B64,SpielerDB!$B$2:$F$81,3,FALSE),"")</f>
      </c>
      <c r="G50" s="169">
        <f>IF(VLOOKUP(VLOOKUP($F$39,TabellenDB!$O$56:$W$67,9,FALSE)*10+$B64,SpielerDB!$B$2:$F$81,2,FALSE)="ja",VLOOKUP(VLOOKUP($F$39,TabellenDB!$O$56:$W$67,9,FALSE)*10+$B64,SpielerDB!$B$2:$F$81,4,FALSE),"")</f>
      </c>
      <c r="H50" s="169"/>
      <c r="I50" s="47">
        <f>IF(VLOOKUP(VLOOKUP($F$39,TabellenDB!$O$56:$W$67,9,FALSE)*10+$B64,SpielerDB!$B$2:$F$81,2,FALSE)="ja",VLOOKUP(VLOOKUP($F$39,TabellenDB!$O$56:$W$67,9,FALSE)*10+$B64,SpielerDB!$B$2:$F$81,5,FALSE),"")</f>
      </c>
      <c r="L50" s="178"/>
      <c r="M50" s="169"/>
      <c r="N50" s="169"/>
      <c r="O50" s="169"/>
      <c r="Q50" s="191"/>
      <c r="R50" s="191"/>
      <c r="S50" s="191"/>
    </row>
    <row r="51" spans="2:7" ht="16.5">
      <c r="B51" s="181" t="s">
        <v>83</v>
      </c>
      <c r="C51" s="181"/>
      <c r="D51" s="181"/>
      <c r="E51" s="181"/>
      <c r="F51" s="181"/>
      <c r="G51" s="181"/>
    </row>
    <row r="55" ht="16.5" hidden="1">
      <c r="B55" s="42">
        <v>1</v>
      </c>
    </row>
    <row r="56" ht="16.5" hidden="1">
      <c r="B56" s="42">
        <v>2</v>
      </c>
    </row>
    <row r="57" ht="16.5" hidden="1">
      <c r="B57" s="42">
        <v>3</v>
      </c>
    </row>
    <row r="58" ht="16.5" hidden="1">
      <c r="B58" s="42">
        <v>4</v>
      </c>
    </row>
    <row r="59" ht="16.5" hidden="1">
      <c r="B59" s="42">
        <v>5</v>
      </c>
    </row>
    <row r="60" ht="16.5" hidden="1">
      <c r="B60" s="42">
        <v>6</v>
      </c>
    </row>
    <row r="61" ht="16.5" hidden="1">
      <c r="B61" s="42">
        <v>7</v>
      </c>
    </row>
    <row r="62" ht="16.5" hidden="1">
      <c r="B62" s="42">
        <v>8</v>
      </c>
    </row>
    <row r="63" ht="16.5" hidden="1">
      <c r="B63" s="42">
        <v>9</v>
      </c>
    </row>
    <row r="64" ht="16.5" hidden="1">
      <c r="B64" s="42">
        <v>10</v>
      </c>
    </row>
    <row r="65" ht="16.5" hidden="1"/>
  </sheetData>
  <sheetProtection sheet="1" selectLockedCells="1"/>
  <mergeCells count="146">
    <mergeCell ref="B39:E39"/>
    <mergeCell ref="D26:E26"/>
    <mergeCell ref="G8:G9"/>
    <mergeCell ref="D8:F9"/>
    <mergeCell ref="F39:I39"/>
    <mergeCell ref="B22:C22"/>
    <mergeCell ref="B32:I35"/>
    <mergeCell ref="G13:I29"/>
    <mergeCell ref="B23:C23"/>
    <mergeCell ref="B29:C29"/>
    <mergeCell ref="M21:O21"/>
    <mergeCell ref="D24:E24"/>
    <mergeCell ref="D25:E25"/>
    <mergeCell ref="B27:C27"/>
    <mergeCell ref="B26:C26"/>
    <mergeCell ref="B25:C25"/>
    <mergeCell ref="B24:C24"/>
    <mergeCell ref="D22:E22"/>
    <mergeCell ref="D23:E23"/>
    <mergeCell ref="M10:O10"/>
    <mergeCell ref="M11:O11"/>
    <mergeCell ref="B12:C12"/>
    <mergeCell ref="B11:C11"/>
    <mergeCell ref="M18:O18"/>
    <mergeCell ref="M19:O19"/>
    <mergeCell ref="B19:C20"/>
    <mergeCell ref="D19:E19"/>
    <mergeCell ref="D20:E20"/>
    <mergeCell ref="M14:O14"/>
    <mergeCell ref="B28:C28"/>
    <mergeCell ref="M2:O3"/>
    <mergeCell ref="M5:O5"/>
    <mergeCell ref="M6:O6"/>
    <mergeCell ref="M7:O7"/>
    <mergeCell ref="M8:O8"/>
    <mergeCell ref="M9:O9"/>
    <mergeCell ref="M4:O4"/>
    <mergeCell ref="M12:O12"/>
    <mergeCell ref="M13:O13"/>
    <mergeCell ref="M15:O15"/>
    <mergeCell ref="M16:O16"/>
    <mergeCell ref="M17:O17"/>
    <mergeCell ref="B2:F3"/>
    <mergeCell ref="B4:F5"/>
    <mergeCell ref="B8:C9"/>
    <mergeCell ref="D15:E15"/>
    <mergeCell ref="B13:C13"/>
    <mergeCell ref="B15:C15"/>
    <mergeCell ref="B14:C14"/>
    <mergeCell ref="B6:F6"/>
    <mergeCell ref="Q19:S19"/>
    <mergeCell ref="C47:D47"/>
    <mergeCell ref="G41:H41"/>
    <mergeCell ref="G42:H42"/>
    <mergeCell ref="G43:H43"/>
    <mergeCell ref="G44:H44"/>
    <mergeCell ref="G45:H45"/>
    <mergeCell ref="G46:H46"/>
    <mergeCell ref="C42:D42"/>
    <mergeCell ref="C45:D45"/>
    <mergeCell ref="Q15:S15"/>
    <mergeCell ref="G47:H47"/>
    <mergeCell ref="Q9:S9"/>
    <mergeCell ref="Q10:S10"/>
    <mergeCell ref="Q11:S11"/>
    <mergeCell ref="Q12:S12"/>
    <mergeCell ref="Q13:S13"/>
    <mergeCell ref="Q16:S16"/>
    <mergeCell ref="Q17:S17"/>
    <mergeCell ref="Q18:S18"/>
    <mergeCell ref="Q14:S14"/>
    <mergeCell ref="Q2:S4"/>
    <mergeCell ref="Q5:S5"/>
    <mergeCell ref="Q6:S6"/>
    <mergeCell ref="Q7:S7"/>
    <mergeCell ref="Q8:S8"/>
    <mergeCell ref="G11:I12"/>
    <mergeCell ref="Q49:S50"/>
    <mergeCell ref="Q27:S27"/>
    <mergeCell ref="Q28:S28"/>
    <mergeCell ref="Q21:S21"/>
    <mergeCell ref="Q22:S22"/>
    <mergeCell ref="Q23:S23"/>
    <mergeCell ref="Q24:S24"/>
    <mergeCell ref="Q25:S25"/>
    <mergeCell ref="G40:H40"/>
    <mergeCell ref="D28:E28"/>
    <mergeCell ref="D29:E29"/>
    <mergeCell ref="N38:N39"/>
    <mergeCell ref="L38:M39"/>
    <mergeCell ref="Q32:S32"/>
    <mergeCell ref="B51:G51"/>
    <mergeCell ref="C40:D40"/>
    <mergeCell ref="C46:D46"/>
    <mergeCell ref="B31:D31"/>
    <mergeCell ref="B38:E38"/>
    <mergeCell ref="Q29:S29"/>
    <mergeCell ref="Q30:S30"/>
    <mergeCell ref="Q31:S31"/>
    <mergeCell ref="Q34:S34"/>
    <mergeCell ref="M34:O34"/>
    <mergeCell ref="Q20:S20"/>
    <mergeCell ref="Q26:S26"/>
    <mergeCell ref="M22:O22"/>
    <mergeCell ref="M23:O23"/>
    <mergeCell ref="M20:O20"/>
    <mergeCell ref="Q35:S35"/>
    <mergeCell ref="Q33:S33"/>
    <mergeCell ref="C48:D48"/>
    <mergeCell ref="M30:O30"/>
    <mergeCell ref="M31:O31"/>
    <mergeCell ref="M32:O32"/>
    <mergeCell ref="M33:O33"/>
    <mergeCell ref="C41:D41"/>
    <mergeCell ref="R46:R48"/>
    <mergeCell ref="L46:M47"/>
    <mergeCell ref="G48:H48"/>
    <mergeCell ref="F38:I38"/>
    <mergeCell ref="C43:D43"/>
    <mergeCell ref="C44:D44"/>
    <mergeCell ref="L49:L50"/>
    <mergeCell ref="M49:O50"/>
    <mergeCell ref="C49:D49"/>
    <mergeCell ref="C50:D50"/>
    <mergeCell ref="G49:H49"/>
    <mergeCell ref="G50:H50"/>
    <mergeCell ref="D16:E16"/>
    <mergeCell ref="D17:E17"/>
    <mergeCell ref="B17:C17"/>
    <mergeCell ref="B16:C16"/>
    <mergeCell ref="L43:L44"/>
    <mergeCell ref="N43:N44"/>
    <mergeCell ref="M28:O28"/>
    <mergeCell ref="M29:O29"/>
    <mergeCell ref="M27:O27"/>
    <mergeCell ref="D27:E27"/>
    <mergeCell ref="H8:I9"/>
    <mergeCell ref="D11:E11"/>
    <mergeCell ref="D12:E12"/>
    <mergeCell ref="D13:E13"/>
    <mergeCell ref="D14:E14"/>
    <mergeCell ref="O38:P39"/>
    <mergeCell ref="M35:O35"/>
    <mergeCell ref="M24:O24"/>
    <mergeCell ref="M25:O25"/>
    <mergeCell ref="M26:O26"/>
  </mergeCells>
  <printOptions horizontalCentered="1" verticalCentered="1"/>
  <pageMargins left="0.15748031496062992" right="0.15748031496062992" top="0.15748031496062992" bottom="0.15748031496062992" header="0.1968503937007874" footer="0.15748031496062992"/>
  <pageSetup fitToHeight="1" fitToWidth="1" horizontalDpi="600" verticalDpi="600" orientation="landscape" paperSize="9" scale="67" r:id="rId2"/>
  <headerFooter>
    <oddFooter>&amp;Rgedruckt: 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W29"/>
  <sheetViews>
    <sheetView showGridLines="0" showRowColHeaders="0" zoomScalePageLayoutView="0" workbookViewId="0" topLeftCell="A1">
      <selection activeCell="F10" sqref="F10"/>
    </sheetView>
  </sheetViews>
  <sheetFormatPr defaultColWidth="11.421875" defaultRowHeight="15"/>
  <cols>
    <col min="1" max="1" width="5.00390625" style="18" customWidth="1"/>
    <col min="2" max="3" width="17.00390625" style="18" customWidth="1"/>
    <col min="4" max="4" width="1.7109375" style="18" customWidth="1"/>
    <col min="5" max="5" width="5.00390625" style="18" customWidth="1"/>
    <col min="6" max="7" width="17.00390625" style="18" customWidth="1"/>
    <col min="8" max="8" width="1.7109375" style="21" customWidth="1"/>
    <col min="9" max="9" width="5.00390625" style="18" customWidth="1"/>
    <col min="10" max="11" width="17.00390625" style="18" customWidth="1"/>
    <col min="12" max="12" width="1.7109375" style="21" customWidth="1"/>
    <col min="13" max="13" width="5.00390625" style="18" customWidth="1"/>
    <col min="14" max="15" width="17.00390625" style="18" customWidth="1"/>
    <col min="16" max="16" width="1.7109375" style="21" customWidth="1"/>
    <col min="17" max="17" width="5.00390625" style="18" customWidth="1"/>
    <col min="18" max="19" width="17.00390625" style="18" customWidth="1"/>
    <col min="20" max="20" width="1.7109375" style="21" customWidth="1"/>
    <col min="21" max="21" width="5.00390625" style="18" customWidth="1"/>
    <col min="22" max="23" width="17.00390625" style="18" customWidth="1"/>
    <col min="24" max="16384" width="11.421875" style="18" customWidth="1"/>
  </cols>
  <sheetData>
    <row r="1" ht="30.75">
      <c r="A1" s="27" t="str">
        <f>"Spielerdaten "&amp;"Saison "&amp;Saisondaten!B3</f>
        <v>Spielerdaten Saison 2019</v>
      </c>
    </row>
    <row r="2" ht="17.25">
      <c r="A2" s="28" t="s">
        <v>41</v>
      </c>
    </row>
    <row r="4" spans="1:16" ht="26.25">
      <c r="A4" s="224" t="str">
        <f>Saisondaten!B16</f>
        <v>ACC Hamburg</v>
      </c>
      <c r="B4" s="224"/>
      <c r="C4" s="224"/>
      <c r="D4" s="19"/>
      <c r="E4" s="224" t="str">
        <f>Saisondaten!B17</f>
        <v>KRM Essen</v>
      </c>
      <c r="F4" s="224"/>
      <c r="G4" s="224"/>
      <c r="H4" s="20"/>
      <c r="I4" s="224" t="str">
        <f>Saisondaten!B18</f>
        <v>PSC Coburg</v>
      </c>
      <c r="J4" s="224"/>
      <c r="K4" s="224"/>
      <c r="L4" s="20"/>
      <c r="M4" s="224" t="str">
        <f>Saisondaten!B19</f>
        <v>KCNW Berlin</v>
      </c>
      <c r="N4" s="224"/>
      <c r="O4" s="224"/>
      <c r="P4" s="20"/>
    </row>
    <row r="5" spans="1:23" s="24" customFormat="1" ht="17.25">
      <c r="A5" s="26" t="s">
        <v>114</v>
      </c>
      <c r="B5" s="26" t="s">
        <v>14</v>
      </c>
      <c r="C5" s="26" t="s">
        <v>15</v>
      </c>
      <c r="D5" s="22"/>
      <c r="E5" s="26" t="s">
        <v>114</v>
      </c>
      <c r="F5" s="26" t="s">
        <v>14</v>
      </c>
      <c r="G5" s="26" t="s">
        <v>15</v>
      </c>
      <c r="H5" s="23"/>
      <c r="I5" s="26" t="s">
        <v>114</v>
      </c>
      <c r="J5" s="26" t="s">
        <v>14</v>
      </c>
      <c r="K5" s="26" t="s">
        <v>15</v>
      </c>
      <c r="L5" s="23"/>
      <c r="M5" s="26" t="s">
        <v>114</v>
      </c>
      <c r="N5" s="26" t="s">
        <v>14</v>
      </c>
      <c r="O5" s="26" t="s">
        <v>15</v>
      </c>
      <c r="P5" s="23"/>
      <c r="Q5" s="18"/>
      <c r="R5" s="18"/>
      <c r="S5" s="18"/>
      <c r="T5" s="21"/>
      <c r="U5" s="18"/>
      <c r="V5" s="18"/>
      <c r="W5" s="18"/>
    </row>
    <row r="6" spans="1:15" ht="16.5">
      <c r="A6" s="29"/>
      <c r="B6" s="29"/>
      <c r="C6" s="29"/>
      <c r="D6" s="25"/>
      <c r="E6" s="29"/>
      <c r="F6" s="29"/>
      <c r="G6" s="29"/>
      <c r="I6" s="29"/>
      <c r="J6" s="29"/>
      <c r="K6" s="29"/>
      <c r="M6" s="29"/>
      <c r="N6" s="29"/>
      <c r="O6" s="29"/>
    </row>
    <row r="7" spans="1:15" ht="16.5">
      <c r="A7" s="29"/>
      <c r="B7" s="29"/>
      <c r="C7" s="29"/>
      <c r="D7" s="25"/>
      <c r="E7" s="29"/>
      <c r="F7" s="29"/>
      <c r="G7" s="29"/>
      <c r="I7" s="29"/>
      <c r="J7" s="29"/>
      <c r="K7" s="29"/>
      <c r="M7" s="29"/>
      <c r="N7" s="29"/>
      <c r="O7" s="29"/>
    </row>
    <row r="8" spans="1:15" ht="16.5">
      <c r="A8" s="29"/>
      <c r="B8" s="29"/>
      <c r="C8" s="29"/>
      <c r="E8" s="29"/>
      <c r="F8" s="29"/>
      <c r="G8" s="29"/>
      <c r="I8" s="29"/>
      <c r="J8" s="29"/>
      <c r="K8" s="29"/>
      <c r="M8" s="29"/>
      <c r="N8" s="29"/>
      <c r="O8" s="29"/>
    </row>
    <row r="9" spans="1:15" ht="16.5">
      <c r="A9" s="29"/>
      <c r="B9" s="29"/>
      <c r="C9" s="29"/>
      <c r="E9" s="29"/>
      <c r="F9" s="29"/>
      <c r="G9" s="29"/>
      <c r="I9" s="29"/>
      <c r="J9" s="29"/>
      <c r="K9" s="29"/>
      <c r="M9" s="29"/>
      <c r="N9" s="29"/>
      <c r="O9" s="29"/>
    </row>
    <row r="10" spans="1:15" ht="16.5">
      <c r="A10" s="29"/>
      <c r="B10" s="29"/>
      <c r="C10" s="29"/>
      <c r="E10" s="29"/>
      <c r="F10" s="29"/>
      <c r="G10" s="29"/>
      <c r="I10" s="29"/>
      <c r="J10" s="29"/>
      <c r="K10" s="29"/>
      <c r="M10" s="29"/>
      <c r="N10" s="29"/>
      <c r="O10" s="29"/>
    </row>
    <row r="11" spans="1:15" ht="16.5">
      <c r="A11" s="29"/>
      <c r="B11" s="29"/>
      <c r="C11" s="29"/>
      <c r="E11" s="29"/>
      <c r="F11" s="29"/>
      <c r="G11" s="29"/>
      <c r="I11" s="29"/>
      <c r="J11" s="29"/>
      <c r="K11" s="29"/>
      <c r="M11" s="29"/>
      <c r="N11" s="29"/>
      <c r="O11" s="29"/>
    </row>
    <row r="12" spans="1:15" ht="16.5">
      <c r="A12" s="29"/>
      <c r="B12" s="29"/>
      <c r="C12" s="29"/>
      <c r="E12" s="29"/>
      <c r="F12" s="29"/>
      <c r="G12" s="29"/>
      <c r="I12" s="29"/>
      <c r="J12" s="29"/>
      <c r="K12" s="29"/>
      <c r="M12" s="29"/>
      <c r="N12" s="29"/>
      <c r="O12" s="29"/>
    </row>
    <row r="13" spans="1:15" ht="16.5">
      <c r="A13" s="29"/>
      <c r="B13" s="29"/>
      <c r="C13" s="29"/>
      <c r="E13" s="29"/>
      <c r="F13" s="29"/>
      <c r="G13" s="29"/>
      <c r="I13" s="29"/>
      <c r="J13" s="29"/>
      <c r="K13" s="29"/>
      <c r="M13" s="29"/>
      <c r="N13" s="29"/>
      <c r="O13" s="29"/>
    </row>
    <row r="14" spans="1:15" ht="16.5">
      <c r="A14" s="29"/>
      <c r="B14" s="29"/>
      <c r="C14" s="29"/>
      <c r="E14" s="29"/>
      <c r="F14" s="29"/>
      <c r="G14" s="29"/>
      <c r="I14" s="29"/>
      <c r="J14" s="29"/>
      <c r="K14" s="29"/>
      <c r="M14" s="29"/>
      <c r="N14" s="29"/>
      <c r="O14" s="29"/>
    </row>
    <row r="15" spans="1:15" ht="16.5">
      <c r="A15" s="29"/>
      <c r="B15" s="29"/>
      <c r="C15" s="29"/>
      <c r="E15" s="29"/>
      <c r="F15" s="29"/>
      <c r="G15" s="29"/>
      <c r="I15" s="29"/>
      <c r="J15" s="29"/>
      <c r="K15" s="29"/>
      <c r="M15" s="29"/>
      <c r="N15" s="29"/>
      <c r="O15" s="29"/>
    </row>
    <row r="18" spans="1:16" ht="26.25">
      <c r="A18" s="224" t="str">
        <f>Saisondaten!B20</f>
        <v>WSF Liblar</v>
      </c>
      <c r="B18" s="224"/>
      <c r="C18" s="224"/>
      <c r="D18" s="19"/>
      <c r="E18" s="224" t="str">
        <f>Saisondaten!B21</f>
        <v>KSVH Berlin</v>
      </c>
      <c r="F18" s="224"/>
      <c r="G18" s="224"/>
      <c r="H18" s="20"/>
      <c r="I18" s="224" t="str">
        <f>Saisondaten!B22</f>
        <v>1. MKC Duisburg</v>
      </c>
      <c r="J18" s="224"/>
      <c r="K18" s="224"/>
      <c r="L18" s="20"/>
      <c r="M18" s="224" t="str">
        <f>Saisondaten!B23</f>
        <v>KP Münster</v>
      </c>
      <c r="N18" s="224"/>
      <c r="O18" s="224"/>
      <c r="P18" s="20"/>
    </row>
    <row r="19" spans="1:23" s="24" customFormat="1" ht="17.25">
      <c r="A19" s="26" t="s">
        <v>114</v>
      </c>
      <c r="B19" s="26" t="s">
        <v>14</v>
      </c>
      <c r="C19" s="26" t="s">
        <v>15</v>
      </c>
      <c r="D19" s="22"/>
      <c r="E19" s="26" t="s">
        <v>114</v>
      </c>
      <c r="F19" s="26" t="s">
        <v>14</v>
      </c>
      <c r="G19" s="26" t="s">
        <v>15</v>
      </c>
      <c r="H19" s="23"/>
      <c r="I19" s="26" t="s">
        <v>114</v>
      </c>
      <c r="J19" s="26" t="s">
        <v>14</v>
      </c>
      <c r="K19" s="26" t="s">
        <v>15</v>
      </c>
      <c r="L19" s="23"/>
      <c r="M19" s="26" t="s">
        <v>114</v>
      </c>
      <c r="N19" s="26" t="s">
        <v>14</v>
      </c>
      <c r="O19" s="26" t="s">
        <v>15</v>
      </c>
      <c r="P19" s="23"/>
      <c r="Q19" s="18"/>
      <c r="R19" s="18"/>
      <c r="S19" s="18"/>
      <c r="T19" s="21"/>
      <c r="U19" s="18"/>
      <c r="V19" s="18"/>
      <c r="W19" s="18"/>
    </row>
    <row r="20" spans="1:15" ht="16.5">
      <c r="A20" s="29"/>
      <c r="B20" s="29"/>
      <c r="C20" s="29"/>
      <c r="D20" s="25"/>
      <c r="E20" s="29"/>
      <c r="F20" s="29"/>
      <c r="G20" s="29"/>
      <c r="I20" s="29"/>
      <c r="J20" s="29"/>
      <c r="K20" s="29"/>
      <c r="M20" s="29"/>
      <c r="N20" s="29"/>
      <c r="O20" s="29"/>
    </row>
    <row r="21" spans="1:15" ht="16.5">
      <c r="A21" s="29"/>
      <c r="B21" s="29"/>
      <c r="C21" s="29"/>
      <c r="D21" s="25"/>
      <c r="E21" s="29"/>
      <c r="F21" s="29"/>
      <c r="G21" s="29"/>
      <c r="I21" s="29"/>
      <c r="J21" s="29"/>
      <c r="K21" s="29"/>
      <c r="M21" s="29"/>
      <c r="N21" s="29"/>
      <c r="O21" s="29"/>
    </row>
    <row r="22" spans="1:15" ht="16.5">
      <c r="A22" s="29"/>
      <c r="B22" s="29"/>
      <c r="C22" s="29"/>
      <c r="E22" s="29"/>
      <c r="F22" s="29"/>
      <c r="G22" s="29"/>
      <c r="I22" s="29"/>
      <c r="J22" s="29"/>
      <c r="K22" s="29"/>
      <c r="M22" s="29"/>
      <c r="N22" s="29"/>
      <c r="O22" s="29"/>
    </row>
    <row r="23" spans="1:15" ht="16.5">
      <c r="A23" s="29"/>
      <c r="B23" s="29"/>
      <c r="C23" s="29"/>
      <c r="E23" s="29"/>
      <c r="F23" s="29"/>
      <c r="G23" s="29"/>
      <c r="I23" s="29"/>
      <c r="J23" s="29"/>
      <c r="K23" s="29"/>
      <c r="M23" s="29"/>
      <c r="N23" s="29"/>
      <c r="O23" s="29"/>
    </row>
    <row r="24" spans="1:15" ht="16.5">
      <c r="A24" s="29"/>
      <c r="B24" s="29"/>
      <c r="C24" s="29"/>
      <c r="E24" s="29"/>
      <c r="F24" s="29"/>
      <c r="G24" s="29"/>
      <c r="I24" s="29"/>
      <c r="J24" s="29"/>
      <c r="K24" s="29"/>
      <c r="M24" s="29"/>
      <c r="N24" s="29"/>
      <c r="O24" s="29"/>
    </row>
    <row r="25" spans="1:15" ht="16.5">
      <c r="A25" s="29"/>
      <c r="B25" s="29"/>
      <c r="C25" s="29"/>
      <c r="E25" s="29"/>
      <c r="F25" s="29"/>
      <c r="G25" s="29"/>
      <c r="I25" s="29"/>
      <c r="J25" s="29"/>
      <c r="K25" s="29"/>
      <c r="M25" s="29"/>
      <c r="N25" s="29"/>
      <c r="O25" s="29"/>
    </row>
    <row r="26" spans="1:15" ht="16.5">
      <c r="A26" s="29"/>
      <c r="B26" s="29"/>
      <c r="C26" s="29"/>
      <c r="E26" s="29"/>
      <c r="F26" s="29"/>
      <c r="G26" s="29"/>
      <c r="I26" s="29"/>
      <c r="J26" s="29"/>
      <c r="K26" s="29"/>
      <c r="M26" s="29"/>
      <c r="N26" s="29"/>
      <c r="O26" s="29"/>
    </row>
    <row r="27" spans="1:15" ht="16.5">
      <c r="A27" s="29"/>
      <c r="B27" s="29"/>
      <c r="C27" s="29"/>
      <c r="E27" s="29"/>
      <c r="F27" s="29"/>
      <c r="G27" s="29"/>
      <c r="I27" s="29"/>
      <c r="J27" s="29"/>
      <c r="K27" s="29"/>
      <c r="M27" s="29"/>
      <c r="N27" s="29"/>
      <c r="O27" s="29"/>
    </row>
    <row r="28" spans="1:15" ht="16.5">
      <c r="A28" s="29"/>
      <c r="B28" s="29"/>
      <c r="C28" s="29"/>
      <c r="E28" s="29"/>
      <c r="F28" s="29"/>
      <c r="G28" s="29"/>
      <c r="I28" s="29"/>
      <c r="J28" s="29"/>
      <c r="K28" s="29"/>
      <c r="M28" s="29"/>
      <c r="N28" s="29"/>
      <c r="O28" s="29"/>
    </row>
    <row r="29" spans="1:15" ht="16.5">
      <c r="A29" s="29"/>
      <c r="B29" s="29"/>
      <c r="C29" s="29"/>
      <c r="E29" s="29"/>
      <c r="F29" s="29"/>
      <c r="G29" s="29"/>
      <c r="I29" s="29"/>
      <c r="J29" s="29"/>
      <c r="K29" s="29"/>
      <c r="M29" s="29"/>
      <c r="N29" s="29"/>
      <c r="O29" s="29"/>
    </row>
  </sheetData>
  <sheetProtection sheet="1" selectLockedCells="1"/>
  <mergeCells count="8">
    <mergeCell ref="A4:C4"/>
    <mergeCell ref="A18:C18"/>
    <mergeCell ref="E18:G18"/>
    <mergeCell ref="I18:K18"/>
    <mergeCell ref="M18:O18"/>
    <mergeCell ref="M4:O4"/>
    <mergeCell ref="I4:K4"/>
    <mergeCell ref="E4:G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3:T15"/>
  <sheetViews>
    <sheetView showGridLines="0" showRowColHeaders="0" zoomScalePageLayoutView="0" workbookViewId="0" topLeftCell="A1">
      <selection activeCell="D9" sqref="D9"/>
    </sheetView>
  </sheetViews>
  <sheetFormatPr defaultColWidth="11.421875" defaultRowHeight="15"/>
  <cols>
    <col min="1" max="1" width="11.421875" style="71" customWidth="1"/>
    <col min="2" max="2" width="7.28125" style="71" bestFit="1" customWidth="1"/>
    <col min="3" max="3" width="31.57421875" style="71" customWidth="1"/>
    <col min="4" max="4" width="9.421875" style="71" customWidth="1"/>
    <col min="5" max="7" width="6.00390625" style="71" customWidth="1"/>
    <col min="8" max="8" width="2.140625" style="71" customWidth="1"/>
    <col min="9" max="9" width="4.7109375" style="71" customWidth="1"/>
    <col min="10" max="10" width="2.00390625" style="71" bestFit="1" customWidth="1"/>
    <col min="11" max="11" width="4.7109375" style="71" customWidth="1"/>
    <col min="12" max="12" width="12.140625" style="71" customWidth="1"/>
    <col min="13" max="13" width="12.57421875" style="71" customWidth="1"/>
    <col min="14" max="14" width="11.421875" style="71" customWidth="1"/>
    <col min="15" max="15" width="16.57421875" style="71" hidden="1" customWidth="1"/>
    <col min="16" max="16" width="2.8515625" style="71" hidden="1" customWidth="1"/>
    <col min="17" max="17" width="16.57421875" style="71" hidden="1" customWidth="1"/>
    <col min="18" max="20" width="11.421875" style="71" hidden="1" customWidth="1"/>
    <col min="21" max="21" width="0" style="71" hidden="1" customWidth="1"/>
    <col min="22" max="16384" width="11.421875" style="71" customWidth="1"/>
  </cols>
  <sheetData>
    <row r="2" ht="16.5"/>
    <row r="3" spans="2:14" ht="26.25">
      <c r="B3" s="228" t="str">
        <f>"1. Bundesliga Damen "&amp;Saisondaten!$B$3&amp;""</f>
        <v>1. Bundesliga Damen 2019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70"/>
    </row>
    <row r="4" ht="7.5" customHeight="1"/>
    <row r="5" spans="2:13" ht="18">
      <c r="B5" s="225" t="str">
        <f>O7</f>
        <v>Gesamttabelle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</row>
    <row r="6" spans="2:17" ht="18">
      <c r="B6" s="226" t="s">
        <v>29</v>
      </c>
      <c r="C6" s="225" t="s">
        <v>30</v>
      </c>
      <c r="D6" s="226" t="s">
        <v>31</v>
      </c>
      <c r="E6" s="225" t="s">
        <v>39</v>
      </c>
      <c r="F6" s="225" t="s">
        <v>32</v>
      </c>
      <c r="G6" s="225" t="s">
        <v>38</v>
      </c>
      <c r="H6" s="72"/>
      <c r="I6" s="229" t="s">
        <v>34</v>
      </c>
      <c r="J6" s="229"/>
      <c r="K6" s="229"/>
      <c r="L6" s="229"/>
      <c r="M6" s="226" t="s">
        <v>33</v>
      </c>
      <c r="O6" s="71" t="s">
        <v>44</v>
      </c>
      <c r="Q6" s="71" t="s">
        <v>47</v>
      </c>
    </row>
    <row r="7" spans="2:20" ht="18">
      <c r="B7" s="226"/>
      <c r="C7" s="225"/>
      <c r="D7" s="226"/>
      <c r="E7" s="225"/>
      <c r="F7" s="225"/>
      <c r="G7" s="225"/>
      <c r="H7" s="72"/>
      <c r="I7" s="73" t="s">
        <v>35</v>
      </c>
      <c r="J7" s="73" t="s">
        <v>28</v>
      </c>
      <c r="K7" s="73" t="s">
        <v>16</v>
      </c>
      <c r="L7" s="74" t="s">
        <v>36</v>
      </c>
      <c r="M7" s="227"/>
      <c r="O7" s="54" t="s">
        <v>37</v>
      </c>
      <c r="Q7" s="54" t="s">
        <v>45</v>
      </c>
      <c r="R7" s="71">
        <v>1</v>
      </c>
      <c r="T7" s="71">
        <f>VLOOKUP($O$7,$Q$7:$R$9,2,FALSE)</f>
        <v>17</v>
      </c>
    </row>
    <row r="8" spans="2:20" ht="16.5">
      <c r="B8" s="88">
        <v>1</v>
      </c>
      <c r="C8" s="89" t="str">
        <f>VLOOKUP($T7,TabellenDB!$B$3:$J$500,3,FALSE)</f>
        <v>ACC Hamburg</v>
      </c>
      <c r="D8" s="88">
        <f>E8+F8+G8</f>
        <v>7</v>
      </c>
      <c r="E8" s="90">
        <f>VLOOKUP($T7,TabellenDB!$B$3:$J$500,5,FALSE)</f>
        <v>5</v>
      </c>
      <c r="F8" s="90">
        <f>VLOOKUP($T7,TabellenDB!$B$3:$J$500,6,FALSE)</f>
        <v>1</v>
      </c>
      <c r="G8" s="90">
        <f>VLOOKUP($T7,TabellenDB!$B$3:$J$500,7,FALSE)</f>
        <v>1</v>
      </c>
      <c r="H8" s="90"/>
      <c r="I8" s="90">
        <f>VLOOKUP($T7,TabellenDB!$B$3:$J$500,8,FALSE)</f>
        <v>45</v>
      </c>
      <c r="J8" s="90" t="s">
        <v>28</v>
      </c>
      <c r="K8" s="90">
        <f>VLOOKUP($T7,TabellenDB!$B$3:$J$500,9,FALSE)</f>
        <v>15</v>
      </c>
      <c r="L8" s="90">
        <f>I8-K8</f>
        <v>30</v>
      </c>
      <c r="M8" s="88">
        <f>E8*3+F8*1</f>
        <v>16</v>
      </c>
      <c r="Q8" s="54" t="s">
        <v>46</v>
      </c>
      <c r="R8" s="71">
        <v>9</v>
      </c>
      <c r="T8" s="71">
        <f>T7+1</f>
        <v>18</v>
      </c>
    </row>
    <row r="9" spans="2:20" ht="16.5">
      <c r="B9" s="94">
        <v>2</v>
      </c>
      <c r="C9" s="95" t="str">
        <f>VLOOKUP($T8,TabellenDB!$B$3:$J$500,3,FALSE)</f>
        <v>PSC Coburg</v>
      </c>
      <c r="D9" s="94">
        <f aca="true" t="shared" si="0" ref="D9:D15">E9+F9+G9</f>
        <v>7</v>
      </c>
      <c r="E9" s="96">
        <f>VLOOKUP($T8,TabellenDB!$B$3:$J$500,5,FALSE)</f>
        <v>5</v>
      </c>
      <c r="F9" s="96">
        <f>VLOOKUP($T8,TabellenDB!$B$3:$J$500,6,FALSE)</f>
        <v>1</v>
      </c>
      <c r="G9" s="96">
        <f>VLOOKUP($T8,TabellenDB!$B$3:$J$500,7,FALSE)</f>
        <v>1</v>
      </c>
      <c r="H9" s="96"/>
      <c r="I9" s="96">
        <f>VLOOKUP($T8,TabellenDB!$B$3:$J$500,8,FALSE)</f>
        <v>37</v>
      </c>
      <c r="J9" s="96" t="s">
        <v>28</v>
      </c>
      <c r="K9" s="96">
        <f>VLOOKUP($T8,TabellenDB!$B$3:$J$500,9,FALSE)</f>
        <v>22</v>
      </c>
      <c r="L9" s="96">
        <f aca="true" t="shared" si="1" ref="L9:L15">I9-K9</f>
        <v>15</v>
      </c>
      <c r="M9" s="94">
        <f aca="true" t="shared" si="2" ref="M9:M15">E9*3+F9*1</f>
        <v>16</v>
      </c>
      <c r="Q9" s="54" t="s">
        <v>37</v>
      </c>
      <c r="R9" s="71">
        <v>17</v>
      </c>
      <c r="T9" s="71">
        <f aca="true" t="shared" si="3" ref="T9:T14">T8+1</f>
        <v>19</v>
      </c>
    </row>
    <row r="10" spans="2:20" ht="16.5">
      <c r="B10" s="100">
        <v>3</v>
      </c>
      <c r="C10" s="101" t="str">
        <f>VLOOKUP($T9,TabellenDB!$B$3:$J$500,3,FALSE)</f>
        <v>KRM Essen</v>
      </c>
      <c r="D10" s="100">
        <f t="shared" si="0"/>
        <v>7</v>
      </c>
      <c r="E10" s="102">
        <f>VLOOKUP($T9,TabellenDB!$B$3:$J$500,5,FALSE)</f>
        <v>5</v>
      </c>
      <c r="F10" s="102">
        <f>VLOOKUP($T9,TabellenDB!$B$3:$J$500,6,FALSE)</f>
        <v>0</v>
      </c>
      <c r="G10" s="102">
        <f>VLOOKUP($T9,TabellenDB!$B$3:$J$500,7,FALSE)</f>
        <v>2</v>
      </c>
      <c r="H10" s="102"/>
      <c r="I10" s="102">
        <f>VLOOKUP($T9,TabellenDB!$B$3:$J$500,8,FALSE)</f>
        <v>28</v>
      </c>
      <c r="J10" s="102" t="s">
        <v>28</v>
      </c>
      <c r="K10" s="102">
        <f>VLOOKUP($T9,TabellenDB!$B$3:$J$500,9,FALSE)</f>
        <v>20</v>
      </c>
      <c r="L10" s="102">
        <f t="shared" si="1"/>
        <v>8</v>
      </c>
      <c r="M10" s="100">
        <f t="shared" si="2"/>
        <v>15</v>
      </c>
      <c r="Q10" s="54"/>
      <c r="T10" s="71">
        <f t="shared" si="3"/>
        <v>20</v>
      </c>
    </row>
    <row r="11" spans="2:20" ht="16.5">
      <c r="B11" s="106">
        <v>4</v>
      </c>
      <c r="C11" s="107" t="str">
        <f>VLOOKUP($T10,TabellenDB!$B$3:$J$500,3,FALSE)</f>
        <v>KCNW Berlin</v>
      </c>
      <c r="D11" s="106">
        <f t="shared" si="0"/>
        <v>7</v>
      </c>
      <c r="E11" s="108">
        <f>VLOOKUP($T10,TabellenDB!$B$3:$J$500,5,FALSE)</f>
        <v>4</v>
      </c>
      <c r="F11" s="108">
        <f>VLOOKUP($T10,TabellenDB!$B$3:$J$500,6,FALSE)</f>
        <v>2</v>
      </c>
      <c r="G11" s="108">
        <f>VLOOKUP($T10,TabellenDB!$B$3:$J$500,7,FALSE)</f>
        <v>1</v>
      </c>
      <c r="H11" s="108"/>
      <c r="I11" s="108">
        <f>VLOOKUP($T10,TabellenDB!$B$3:$J$500,8,FALSE)</f>
        <v>24</v>
      </c>
      <c r="J11" s="108" t="s">
        <v>28</v>
      </c>
      <c r="K11" s="108">
        <f>VLOOKUP($T10,TabellenDB!$B$3:$J$500,9,FALSE)</f>
        <v>13</v>
      </c>
      <c r="L11" s="108">
        <f t="shared" si="1"/>
        <v>11</v>
      </c>
      <c r="M11" s="106">
        <f t="shared" si="2"/>
        <v>14</v>
      </c>
      <c r="T11" s="71">
        <f t="shared" si="3"/>
        <v>21</v>
      </c>
    </row>
    <row r="12" spans="2:20" ht="16.5">
      <c r="B12" s="106">
        <v>5</v>
      </c>
      <c r="C12" s="107" t="str">
        <f>VLOOKUP($T11,TabellenDB!$B$3:$J$500,3,FALSE)</f>
        <v>1. MKC Duisburg</v>
      </c>
      <c r="D12" s="106">
        <f t="shared" si="0"/>
        <v>7</v>
      </c>
      <c r="E12" s="108">
        <f>VLOOKUP($T11,TabellenDB!$B$3:$J$500,5,FALSE)</f>
        <v>2</v>
      </c>
      <c r="F12" s="108">
        <f>VLOOKUP($T11,TabellenDB!$B$3:$J$500,6,FALSE)</f>
        <v>2</v>
      </c>
      <c r="G12" s="108">
        <f>VLOOKUP($T11,TabellenDB!$B$3:$J$500,7,FALSE)</f>
        <v>3</v>
      </c>
      <c r="H12" s="108"/>
      <c r="I12" s="108">
        <f>VLOOKUP($T11,TabellenDB!$B$3:$J$500,8,FALSE)</f>
        <v>20</v>
      </c>
      <c r="J12" s="108" t="s">
        <v>28</v>
      </c>
      <c r="K12" s="108">
        <f>VLOOKUP($T11,TabellenDB!$B$3:$J$500,9,FALSE)</f>
        <v>26</v>
      </c>
      <c r="L12" s="108">
        <f t="shared" si="1"/>
        <v>-6</v>
      </c>
      <c r="M12" s="106">
        <f t="shared" si="2"/>
        <v>8</v>
      </c>
      <c r="T12" s="71">
        <f t="shared" si="3"/>
        <v>22</v>
      </c>
    </row>
    <row r="13" spans="2:20" ht="16.5">
      <c r="B13" s="103">
        <v>6</v>
      </c>
      <c r="C13" s="104" t="str">
        <f>VLOOKUP($T12,TabellenDB!$B$3:$J$500,3,FALSE)</f>
        <v>WSF Liblar</v>
      </c>
      <c r="D13" s="103">
        <f t="shared" si="0"/>
        <v>7</v>
      </c>
      <c r="E13" s="105">
        <f>VLOOKUP($T12,TabellenDB!$B$3:$J$500,5,FALSE)</f>
        <v>2</v>
      </c>
      <c r="F13" s="105">
        <f>VLOOKUP($T12,TabellenDB!$B$3:$J$500,6,FALSE)</f>
        <v>2</v>
      </c>
      <c r="G13" s="105">
        <f>VLOOKUP($T12,TabellenDB!$B$3:$J$500,7,FALSE)</f>
        <v>3</v>
      </c>
      <c r="H13" s="105"/>
      <c r="I13" s="105">
        <f>VLOOKUP($T12,TabellenDB!$B$3:$J$500,8,FALSE)</f>
        <v>15</v>
      </c>
      <c r="J13" s="105" t="s">
        <v>28</v>
      </c>
      <c r="K13" s="105">
        <f>VLOOKUP($T12,TabellenDB!$B$3:$J$500,9,FALSE)</f>
        <v>26</v>
      </c>
      <c r="L13" s="105">
        <f t="shared" si="1"/>
        <v>-11</v>
      </c>
      <c r="M13" s="103">
        <f t="shared" si="2"/>
        <v>8</v>
      </c>
      <c r="T13" s="71">
        <f t="shared" si="3"/>
        <v>23</v>
      </c>
    </row>
    <row r="14" spans="2:20" ht="16.5">
      <c r="B14" s="97">
        <v>7</v>
      </c>
      <c r="C14" s="98" t="str">
        <f>VLOOKUP($T13,TabellenDB!$B$3:$J$500,3,FALSE)</f>
        <v>KSVH Berlin</v>
      </c>
      <c r="D14" s="97">
        <f t="shared" si="0"/>
        <v>7</v>
      </c>
      <c r="E14" s="99">
        <f>VLOOKUP($T13,TabellenDB!$B$3:$J$500,5,FALSE)</f>
        <v>1</v>
      </c>
      <c r="F14" s="99">
        <f>VLOOKUP($T13,TabellenDB!$B$3:$J$500,6,FALSE)</f>
        <v>0</v>
      </c>
      <c r="G14" s="99">
        <f>VLOOKUP($T13,TabellenDB!$B$3:$J$500,7,FALSE)</f>
        <v>6</v>
      </c>
      <c r="H14" s="99"/>
      <c r="I14" s="99">
        <f>VLOOKUP($T13,TabellenDB!$B$3:$J$500,8,FALSE)</f>
        <v>14</v>
      </c>
      <c r="J14" s="99" t="s">
        <v>28</v>
      </c>
      <c r="K14" s="99">
        <f>VLOOKUP($T13,TabellenDB!$B$3:$J$500,9,FALSE)</f>
        <v>28</v>
      </c>
      <c r="L14" s="99">
        <f t="shared" si="1"/>
        <v>-14</v>
      </c>
      <c r="M14" s="97">
        <f t="shared" si="2"/>
        <v>3</v>
      </c>
      <c r="T14" s="71">
        <f t="shared" si="3"/>
        <v>24</v>
      </c>
    </row>
    <row r="15" spans="2:13" ht="16.5">
      <c r="B15" s="91">
        <v>8</v>
      </c>
      <c r="C15" s="92" t="str">
        <f>VLOOKUP($T14,TabellenDB!$B$3:$J$500,3,FALSE)</f>
        <v>KP Münster</v>
      </c>
      <c r="D15" s="91">
        <f t="shared" si="0"/>
        <v>7</v>
      </c>
      <c r="E15" s="93">
        <f>VLOOKUP($T14,TabellenDB!$B$3:$J$500,5,FALSE)</f>
        <v>0</v>
      </c>
      <c r="F15" s="93">
        <f>VLOOKUP($T14,TabellenDB!$B$3:$J$500,6,FALSE)</f>
        <v>0</v>
      </c>
      <c r="G15" s="93">
        <f>VLOOKUP($T14,TabellenDB!$B$3:$J$500,7,FALSE)</f>
        <v>7</v>
      </c>
      <c r="H15" s="93"/>
      <c r="I15" s="93">
        <f>VLOOKUP($T14,TabellenDB!$B$3:$J$500,8,FALSE)</f>
        <v>11</v>
      </c>
      <c r="J15" s="93" t="s">
        <v>28</v>
      </c>
      <c r="K15" s="93">
        <f>VLOOKUP($T14,TabellenDB!$B$3:$J$500,9,FALSE)</f>
        <v>44</v>
      </c>
      <c r="L15" s="93">
        <f t="shared" si="1"/>
        <v>-33</v>
      </c>
      <c r="M15" s="91">
        <f t="shared" si="2"/>
        <v>0</v>
      </c>
    </row>
  </sheetData>
  <sheetProtection sheet="1" selectLockedCells="1"/>
  <mergeCells count="10">
    <mergeCell ref="B5:M5"/>
    <mergeCell ref="M6:M7"/>
    <mergeCell ref="G6:G7"/>
    <mergeCell ref="F6:F7"/>
    <mergeCell ref="E6:E7"/>
    <mergeCell ref="B3:M3"/>
    <mergeCell ref="D6:D7"/>
    <mergeCell ref="C6:C7"/>
    <mergeCell ref="B6:B7"/>
    <mergeCell ref="I6:L6"/>
  </mergeCells>
  <printOptions horizontalCentered="1"/>
  <pageMargins left="0.2362204724409449" right="0.2362204724409449" top="0.7480314960629921" bottom="1.141732283464567" header="0.31496062992125984" footer="0.31496062992125984"/>
  <pageSetup fitToHeight="1" fitToWidth="1" horizontalDpi="600" verticalDpi="600" orientation="landscape" paperSize="9" r:id="rId3"/>
  <headerFooter>
    <oddFooter>&amp;Lbundesliga.kanupolo.de&amp;C&amp;G&amp;RStand: &amp;D, &amp;T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BV39"/>
  <sheetViews>
    <sheetView showGridLines="0" showRowColHeaders="0" zoomScalePageLayoutView="0" workbookViewId="0" topLeftCell="A1">
      <selection activeCell="H7" sqref="H7"/>
    </sheetView>
  </sheetViews>
  <sheetFormatPr defaultColWidth="11.421875" defaultRowHeight="15"/>
  <cols>
    <col min="1" max="1" width="5.7109375" style="1" bestFit="1" customWidth="1"/>
    <col min="2" max="2" width="1.7109375" style="1" bestFit="1" customWidth="1"/>
    <col min="3" max="3" width="5.28125" style="1" bestFit="1" customWidth="1"/>
    <col min="4" max="4" width="6.140625" style="1" bestFit="1" customWidth="1"/>
    <col min="5" max="5" width="21.7109375" style="1" customWidth="1"/>
    <col min="6" max="6" width="1.57421875" style="1" bestFit="1" customWidth="1"/>
    <col min="7" max="7" width="21.7109375" style="1" customWidth="1"/>
    <col min="8" max="8" width="4.421875" style="1" customWidth="1"/>
    <col min="9" max="9" width="1.57421875" style="1" bestFit="1" customWidth="1"/>
    <col min="10" max="10" width="4.421875" style="1" customWidth="1"/>
    <col min="11" max="11" width="10.7109375" style="1" customWidth="1"/>
    <col min="12" max="12" width="0.9921875" style="1" customWidth="1"/>
    <col min="13" max="13" width="10.7109375" style="1" customWidth="1"/>
    <col min="14" max="14" width="11.421875" style="1" customWidth="1"/>
    <col min="15" max="15" width="7.140625" style="1" hidden="1" customWidth="1"/>
    <col min="16" max="16" width="18.140625" style="1" hidden="1" customWidth="1"/>
    <col min="17" max="17" width="2.140625" style="1" hidden="1" customWidth="1"/>
    <col min="18" max="19" width="2.57421875" style="1" hidden="1" customWidth="1"/>
    <col min="20" max="21" width="3.28125" style="1" hidden="1" customWidth="1"/>
    <col min="22" max="22" width="16.28125" style="1" hidden="1" customWidth="1"/>
    <col min="23" max="23" width="2.140625" style="1" hidden="1" customWidth="1"/>
    <col min="24" max="25" width="2.57421875" style="1" hidden="1" customWidth="1"/>
    <col min="26" max="27" width="3.28125" style="1" hidden="1" customWidth="1"/>
    <col min="28" max="28" width="11.421875" style="1" hidden="1" customWidth="1"/>
    <col min="29" max="29" width="6.421875" style="1" hidden="1" customWidth="1"/>
    <col min="30" max="30" width="18.140625" style="1" hidden="1" customWidth="1"/>
    <col min="31" max="31" width="9.140625" style="1" hidden="1" customWidth="1"/>
    <col min="32" max="33" width="2.57421875" style="1" hidden="1" customWidth="1"/>
    <col min="34" max="37" width="3.28125" style="1" hidden="1" customWidth="1"/>
    <col min="38" max="38" width="12.421875" style="1" hidden="1" customWidth="1"/>
    <col min="39" max="39" width="3.28125" style="1" hidden="1" customWidth="1"/>
    <col min="40" max="40" width="2.140625" style="1" hidden="1" customWidth="1"/>
    <col min="41" max="41" width="12.421875" style="1" hidden="1" customWidth="1"/>
    <col min="42" max="42" width="3.28125" style="1" hidden="1" customWidth="1"/>
    <col min="43" max="43" width="2.140625" style="1" hidden="1" customWidth="1"/>
    <col min="44" max="44" width="12.421875" style="1" hidden="1" customWidth="1"/>
    <col min="45" max="45" width="3.28125" style="1" hidden="1" customWidth="1"/>
    <col min="46" max="46" width="2.140625" style="1" hidden="1" customWidth="1"/>
    <col min="47" max="47" width="12.421875" style="1" hidden="1" customWidth="1"/>
    <col min="48" max="48" width="3.28125" style="1" hidden="1" customWidth="1"/>
    <col min="49" max="49" width="2.140625" style="1" hidden="1" customWidth="1"/>
    <col min="50" max="50" width="12.421875" style="1" hidden="1" customWidth="1"/>
    <col min="51" max="51" width="3.28125" style="1" hidden="1" customWidth="1"/>
    <col min="52" max="52" width="2.140625" style="1" hidden="1" customWidth="1"/>
    <col min="53" max="53" width="12.421875" style="1" hidden="1" customWidth="1"/>
    <col min="54" max="54" width="3.28125" style="1" hidden="1" customWidth="1"/>
    <col min="55" max="55" width="2.140625" style="1" hidden="1" customWidth="1"/>
    <col min="56" max="56" width="12.421875" style="1" hidden="1" customWidth="1"/>
    <col min="57" max="57" width="3.28125" style="1" hidden="1" customWidth="1"/>
    <col min="58" max="58" width="2.140625" style="1" hidden="1" customWidth="1"/>
    <col min="59" max="59" width="12.421875" style="1" hidden="1" customWidth="1"/>
    <col min="60" max="60" width="3.28125" style="1" hidden="1" customWidth="1"/>
    <col min="61" max="61" width="2.140625" style="1" hidden="1" customWidth="1"/>
    <col min="62" max="62" width="12.421875" style="1" hidden="1" customWidth="1"/>
    <col min="63" max="63" width="3.28125" style="1" hidden="1" customWidth="1"/>
    <col min="64" max="64" width="2.140625" style="1" hidden="1" customWidth="1"/>
    <col min="65" max="65" width="12.421875" style="1" hidden="1" customWidth="1"/>
    <col min="66" max="66" width="3.28125" style="1" hidden="1" customWidth="1"/>
    <col min="67" max="67" width="2.140625" style="1" hidden="1" customWidth="1"/>
    <col min="68" max="68" width="12.421875" style="1" hidden="1" customWidth="1"/>
    <col min="69" max="69" width="3.28125" style="1" hidden="1" customWidth="1"/>
    <col min="70" max="70" width="2.140625" style="1" hidden="1" customWidth="1"/>
    <col min="71" max="71" width="12.421875" style="1" hidden="1" customWidth="1"/>
    <col min="72" max="72" width="3.28125" style="1" hidden="1" customWidth="1"/>
    <col min="73" max="73" width="0" style="1" hidden="1" customWidth="1"/>
    <col min="74" max="16384" width="11.421875" style="1" customWidth="1"/>
  </cols>
  <sheetData>
    <row r="1" spans="1:13" ht="38.25" customHeight="1">
      <c r="A1" s="232" t="str">
        <f>"1. Bundesliga Damen "&amp;Saisondaten!$B$3&amp;""</f>
        <v>1. Bundesliga Damen 2019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16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">
      <c r="A3" s="233" t="str">
        <f>"Hinrunde Damen"&amp;" in "&amp;Saisondaten!$D$8</f>
        <v>Hinrunde Damen in Liblar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1:13" ht="7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7.25">
      <c r="A5" s="234" t="str">
        <f>TEXT(Saisondaten!$B$8,"[$-F800]TTTT, MMMM TT, JJJJ")</f>
        <v>Samstag, 11. Mai 2019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</row>
    <row r="6" spans="1:74" ht="16.5">
      <c r="A6" s="7" t="s">
        <v>23</v>
      </c>
      <c r="B6" s="7"/>
      <c r="C6" s="7" t="s">
        <v>24</v>
      </c>
      <c r="D6" s="7" t="s">
        <v>25</v>
      </c>
      <c r="E6" s="235" t="s">
        <v>5</v>
      </c>
      <c r="F6" s="235"/>
      <c r="G6" s="235"/>
      <c r="H6" s="235" t="s">
        <v>26</v>
      </c>
      <c r="I6" s="235"/>
      <c r="J6" s="235"/>
      <c r="K6" s="235" t="s">
        <v>17</v>
      </c>
      <c r="L6" s="235"/>
      <c r="M6" s="235"/>
      <c r="O6" s="1" t="s">
        <v>50</v>
      </c>
      <c r="P6" s="1" t="s">
        <v>48</v>
      </c>
      <c r="Q6" s="1" t="s">
        <v>39</v>
      </c>
      <c r="R6" s="1" t="s">
        <v>32</v>
      </c>
      <c r="S6" s="1" t="s">
        <v>38</v>
      </c>
      <c r="T6" s="1" t="s">
        <v>35</v>
      </c>
      <c r="U6" s="1" t="s">
        <v>16</v>
      </c>
      <c r="V6" s="1" t="s">
        <v>49</v>
      </c>
      <c r="W6" s="1" t="s">
        <v>39</v>
      </c>
      <c r="X6" s="1" t="s">
        <v>32</v>
      </c>
      <c r="Y6" s="1" t="s">
        <v>38</v>
      </c>
      <c r="Z6" s="1" t="s">
        <v>35</v>
      </c>
      <c r="AA6" s="1" t="s">
        <v>16</v>
      </c>
      <c r="AD6" s="30" t="s">
        <v>30</v>
      </c>
      <c r="AE6" s="1" t="s">
        <v>39</v>
      </c>
      <c r="AF6" s="1" t="s">
        <v>32</v>
      </c>
      <c r="AG6" s="1" t="s">
        <v>38</v>
      </c>
      <c r="AH6" s="1" t="s">
        <v>35</v>
      </c>
      <c r="AI6" s="1" t="s">
        <v>16</v>
      </c>
      <c r="BU6" s="77"/>
      <c r="BV6" s="77"/>
    </row>
    <row r="7" spans="1:74" ht="16.5">
      <c r="A7" s="9">
        <v>1</v>
      </c>
      <c r="B7" s="9" t="s">
        <v>18</v>
      </c>
      <c r="C7" s="9">
        <v>1</v>
      </c>
      <c r="D7" s="10">
        <v>0.3541666666666667</v>
      </c>
      <c r="E7" s="9" t="str">
        <f>Saisondaten!B16</f>
        <v>ACC Hamburg</v>
      </c>
      <c r="F7" s="9" t="s">
        <v>28</v>
      </c>
      <c r="G7" s="9" t="str">
        <f>Saisondaten!B23</f>
        <v>KP Münster</v>
      </c>
      <c r="H7" s="11">
        <v>7</v>
      </c>
      <c r="I7" s="9" t="s">
        <v>28</v>
      </c>
      <c r="J7" s="11">
        <v>1</v>
      </c>
      <c r="K7" s="120" t="str">
        <f>IF(VLOOKUP(A7,Schiedsrichter!$A$3:$I$58,8,FALSE)=0,"-",VLOOKUP(A7,Schiedsrichter!$A$3:$I$58,8,FALSE))</f>
        <v>KRM Essen</v>
      </c>
      <c r="L7" s="113" t="s">
        <v>122</v>
      </c>
      <c r="M7" s="123" t="str">
        <f>IF(VLOOKUP(A7,Schiedsrichter!$A$3:$I$58,9,FALSE)=0,"-",VLOOKUP(A7,Schiedsrichter!$A$3:$I$58,9,FALSE))</f>
        <v>1. MKC Duisburg</v>
      </c>
      <c r="O7" s="1">
        <f>IF(OR(H7="",J7=""),"na",1)</f>
        <v>1</v>
      </c>
      <c r="P7" s="1" t="str">
        <f>E7</f>
        <v>ACC Hamburg</v>
      </c>
      <c r="Q7" s="1">
        <f aca="true" t="shared" si="0" ref="Q7:Q36">IF($O7=1,IF($H7&gt;$J7,1,0),"")</f>
        <v>1</v>
      </c>
      <c r="R7" s="1">
        <f aca="true" t="shared" si="1" ref="R7:R36">IF($O7=1,IF($H7=$J7,1,0),"")</f>
        <v>0</v>
      </c>
      <c r="S7" s="1">
        <f aca="true" t="shared" si="2" ref="S7:S36">IF($O7=1,IF($H7&lt;$J7,1,0),"")</f>
        <v>0</v>
      </c>
      <c r="T7" s="1">
        <f aca="true" t="shared" si="3" ref="T7:T36">IF($O7=1,$H7,"")</f>
        <v>7</v>
      </c>
      <c r="U7" s="1">
        <f aca="true" t="shared" si="4" ref="U7:U36">IF($O7=1,$J7,"")</f>
        <v>1</v>
      </c>
      <c r="V7" s="1" t="str">
        <f>G7</f>
        <v>KP Münster</v>
      </c>
      <c r="W7" s="1">
        <f aca="true" t="shared" si="5" ref="W7:W37">IF($O7=1,IF($H7&lt;$J7,1,0),"")</f>
        <v>0</v>
      </c>
      <c r="X7" s="1">
        <f aca="true" t="shared" si="6" ref="X7:X37">IF($O7=1,IF($H7=$J7,1,0),"")</f>
        <v>0</v>
      </c>
      <c r="Y7" s="1">
        <f aca="true" t="shared" si="7" ref="Y7:Y37">IF($O7=1,IF($H7&gt;$J7,1,0),"")</f>
        <v>1</v>
      </c>
      <c r="Z7" s="1">
        <f aca="true" t="shared" si="8" ref="Z7:Z37">IF($O7=1,$J7,"")</f>
        <v>1</v>
      </c>
      <c r="AA7" s="1">
        <f aca="true" t="shared" si="9" ref="AA7:AA37">IF($O7=1,$H7,"")</f>
        <v>7</v>
      </c>
      <c r="AD7" s="1" t="str">
        <f>Saisondaten!B16</f>
        <v>ACC Hamburg</v>
      </c>
      <c r="AE7" s="1">
        <f>SUMIF($P$7:$P$37,$AD7,Q$7:Q$37)</f>
        <v>5</v>
      </c>
      <c r="AF7" s="1">
        <f aca="true" t="shared" si="10" ref="AF7:AF14">SUMIF($P$7:$P$37,$AD7,R$7:R$37)</f>
        <v>1</v>
      </c>
      <c r="AG7" s="1">
        <f aca="true" t="shared" si="11" ref="AG7:AG14">SUMIF($P$7:$P$37,$AD7,S$7:S$37)</f>
        <v>1</v>
      </c>
      <c r="AH7" s="1">
        <f aca="true" t="shared" si="12" ref="AH7:AH14">SUMIF($P$7:$P$37,$AD7,T$7:T$37)</f>
        <v>45</v>
      </c>
      <c r="AI7" s="1">
        <f aca="true" t="shared" si="13" ref="AI7:AI14">SUMIF($P$7:$P$37,$AD7,U$7:U$37)</f>
        <v>15</v>
      </c>
      <c r="BU7" s="77"/>
      <c r="BV7" s="77"/>
    </row>
    <row r="8" spans="1:74" ht="16.5">
      <c r="A8" s="12">
        <f>A7+1</f>
        <v>2</v>
      </c>
      <c r="B8" s="12" t="s">
        <v>18</v>
      </c>
      <c r="C8" s="12">
        <v>2</v>
      </c>
      <c r="D8" s="13">
        <v>0.3541666666666667</v>
      </c>
      <c r="E8" s="12" t="str">
        <f>Saisondaten!B18</f>
        <v>PSC Coburg</v>
      </c>
      <c r="F8" s="12" t="s">
        <v>28</v>
      </c>
      <c r="G8" s="12" t="str">
        <f>Saisondaten!B21</f>
        <v>KSVH Berlin</v>
      </c>
      <c r="H8" s="14">
        <v>5</v>
      </c>
      <c r="I8" s="12" t="s">
        <v>28</v>
      </c>
      <c r="J8" s="14">
        <v>2</v>
      </c>
      <c r="K8" s="121" t="str">
        <f>IF(VLOOKUP(A8,Schiedsrichter!$A$3:$I$58,8,FALSE)=0,"-",VLOOKUP(A8,Schiedsrichter!$A$3:$I$58,8,FALSE))</f>
        <v>KCNW Berlin</v>
      </c>
      <c r="L8" s="111" t="s">
        <v>122</v>
      </c>
      <c r="M8" s="124" t="str">
        <f>IF(VLOOKUP(A8,Schiedsrichter!$A$3:$I$58,9,FALSE)=0,"-",VLOOKUP(A8,Schiedsrichter!$A$3:$I$58,9,FALSE))</f>
        <v>WSF Liblar</v>
      </c>
      <c r="O8" s="1">
        <f>IF(OR(H8="",J8=""),"na",1)</f>
        <v>1</v>
      </c>
      <c r="P8" s="1" t="str">
        <f>E8</f>
        <v>PSC Coburg</v>
      </c>
      <c r="Q8" s="1">
        <f>IF($O8=1,IF($H8&gt;$J8,1,0),"")</f>
        <v>1</v>
      </c>
      <c r="R8" s="1">
        <f>IF($O8=1,IF($H8=$J8,1,0),"")</f>
        <v>0</v>
      </c>
      <c r="S8" s="1">
        <f>IF($O8=1,IF($H8&lt;$J8,1,0),"")</f>
        <v>0</v>
      </c>
      <c r="T8" s="1">
        <f t="shared" si="3"/>
        <v>5</v>
      </c>
      <c r="U8" s="1">
        <f>IF($O8=1,$J8,"")</f>
        <v>2</v>
      </c>
      <c r="V8" s="1" t="str">
        <f aca="true" t="shared" si="14" ref="V8:V36">G8</f>
        <v>KSVH Berlin</v>
      </c>
      <c r="W8" s="1">
        <f>IF($O8=1,IF($H8&lt;$J8,1,0),"")</f>
        <v>0</v>
      </c>
      <c r="X8" s="1">
        <f>IF($O8=1,IF($H8=$J8,1,0),"")</f>
        <v>0</v>
      </c>
      <c r="Y8" s="1">
        <f>IF($O8=1,IF($H8&gt;$J8,1,0),"")</f>
        <v>1</v>
      </c>
      <c r="Z8" s="1">
        <f>IF($O8=1,$J8,"")</f>
        <v>2</v>
      </c>
      <c r="AA8" s="1">
        <f t="shared" si="9"/>
        <v>5</v>
      </c>
      <c r="AD8" s="77" t="str">
        <f>Saisondaten!B17</f>
        <v>KRM Essen</v>
      </c>
      <c r="AE8" s="1">
        <f aca="true" t="shared" si="15" ref="AE8:AE14">SUMIF($P$7:$P$37,$AD8,Q$7:Q$37)</f>
        <v>5</v>
      </c>
      <c r="AF8" s="1">
        <f t="shared" si="10"/>
        <v>0</v>
      </c>
      <c r="AG8" s="1">
        <f t="shared" si="11"/>
        <v>1</v>
      </c>
      <c r="AH8" s="1">
        <f t="shared" si="12"/>
        <v>26</v>
      </c>
      <c r="AI8" s="1">
        <f t="shared" si="13"/>
        <v>13</v>
      </c>
      <c r="BU8" s="77"/>
      <c r="BV8" s="77"/>
    </row>
    <row r="9" spans="1:74" ht="16.5">
      <c r="A9" s="79">
        <f aca="true" t="shared" si="16" ref="A9:A22">A8+1</f>
        <v>3</v>
      </c>
      <c r="B9" s="79" t="s">
        <v>18</v>
      </c>
      <c r="C9" s="79">
        <v>1</v>
      </c>
      <c r="D9" s="80">
        <v>0.3854166666666667</v>
      </c>
      <c r="E9" s="79" t="str">
        <f>Saisondaten!B17</f>
        <v>KRM Essen</v>
      </c>
      <c r="F9" s="79" t="s">
        <v>28</v>
      </c>
      <c r="G9" s="79" t="str">
        <f>Saisondaten!B22</f>
        <v>1. MKC Duisburg</v>
      </c>
      <c r="H9" s="81">
        <v>2</v>
      </c>
      <c r="I9" s="79" t="s">
        <v>28</v>
      </c>
      <c r="J9" s="81">
        <v>0</v>
      </c>
      <c r="K9" s="122" t="str">
        <f>IF(VLOOKUP(A9,Schiedsrichter!$A$3:$I$58,8,FALSE)=0,"-",VLOOKUP(A9,Schiedsrichter!$A$3:$I$58,8,FALSE))</f>
        <v>ACC Hamburg</v>
      </c>
      <c r="L9" s="112" t="s">
        <v>122</v>
      </c>
      <c r="M9" s="125" t="str">
        <f>IF(VLOOKUP(A9,Schiedsrichter!$A$3:$I$58,9,FALSE)=0,"-",VLOOKUP(A9,Schiedsrichter!$A$3:$I$58,9,FALSE))</f>
        <v>KP Münster</v>
      </c>
      <c r="O9" s="1">
        <f aca="true" t="shared" si="17" ref="O9:O36">IF(OR(H9="",J9=""),"na",1)</f>
        <v>1</v>
      </c>
      <c r="P9" s="1" t="str">
        <f aca="true" t="shared" si="18" ref="P9:P36">E9</f>
        <v>KRM Essen</v>
      </c>
      <c r="Q9" s="1">
        <f t="shared" si="0"/>
        <v>1</v>
      </c>
      <c r="R9" s="1">
        <f t="shared" si="1"/>
        <v>0</v>
      </c>
      <c r="S9" s="1">
        <f t="shared" si="2"/>
        <v>0</v>
      </c>
      <c r="T9" s="1">
        <f t="shared" si="3"/>
        <v>2</v>
      </c>
      <c r="U9" s="1">
        <f t="shared" si="4"/>
        <v>0</v>
      </c>
      <c r="V9" s="1" t="str">
        <f t="shared" si="14"/>
        <v>1. MKC Duisburg</v>
      </c>
      <c r="W9" s="1">
        <f t="shared" si="5"/>
        <v>0</v>
      </c>
      <c r="X9" s="1">
        <f t="shared" si="6"/>
        <v>0</v>
      </c>
      <c r="Y9" s="1">
        <f t="shared" si="7"/>
        <v>1</v>
      </c>
      <c r="Z9" s="1">
        <f t="shared" si="8"/>
        <v>0</v>
      </c>
      <c r="AA9" s="1">
        <f t="shared" si="9"/>
        <v>2</v>
      </c>
      <c r="AD9" s="77" t="str">
        <f>Saisondaten!B18</f>
        <v>PSC Coburg</v>
      </c>
      <c r="AE9" s="1">
        <f t="shared" si="15"/>
        <v>3</v>
      </c>
      <c r="AF9" s="1">
        <f t="shared" si="10"/>
        <v>1</v>
      </c>
      <c r="AG9" s="1">
        <f t="shared" si="11"/>
        <v>1</v>
      </c>
      <c r="AH9" s="1">
        <f t="shared" si="12"/>
        <v>26</v>
      </c>
      <c r="AI9" s="1">
        <f t="shared" si="13"/>
        <v>13</v>
      </c>
      <c r="BU9" s="77"/>
      <c r="BV9" s="77"/>
    </row>
    <row r="10" spans="1:74" ht="16.5">
      <c r="A10" s="79">
        <f t="shared" si="16"/>
        <v>4</v>
      </c>
      <c r="B10" s="79" t="s">
        <v>18</v>
      </c>
      <c r="C10" s="79">
        <v>2</v>
      </c>
      <c r="D10" s="80">
        <v>0.3854166666666667</v>
      </c>
      <c r="E10" s="79" t="str">
        <f>Saisondaten!B19</f>
        <v>KCNW Berlin</v>
      </c>
      <c r="F10" s="79" t="s">
        <v>28</v>
      </c>
      <c r="G10" s="79" t="str">
        <f>Saisondaten!B20</f>
        <v>WSF Liblar</v>
      </c>
      <c r="H10" s="81">
        <v>3</v>
      </c>
      <c r="I10" s="79" t="s">
        <v>28</v>
      </c>
      <c r="J10" s="81">
        <v>3</v>
      </c>
      <c r="K10" s="122" t="str">
        <f>IF(VLOOKUP(A10,Schiedsrichter!$A$3:$I$58,8,FALSE)=0,"-",VLOOKUP(A10,Schiedsrichter!$A$3:$I$58,8,FALSE))</f>
        <v>PSC Coburg</v>
      </c>
      <c r="L10" s="112" t="s">
        <v>122</v>
      </c>
      <c r="M10" s="125" t="str">
        <f>IF(VLOOKUP(A10,Schiedsrichter!$A$3:$I$58,9,FALSE)=0,"-",VLOOKUP(A10,Schiedsrichter!$A$3:$I$58,9,FALSE))</f>
        <v>KSVH Berlin</v>
      </c>
      <c r="O10" s="1">
        <f t="shared" si="17"/>
        <v>1</v>
      </c>
      <c r="P10" s="1" t="str">
        <f t="shared" si="18"/>
        <v>KCNW Berlin</v>
      </c>
      <c r="Q10" s="1">
        <f t="shared" si="0"/>
        <v>0</v>
      </c>
      <c r="R10" s="1">
        <f t="shared" si="1"/>
        <v>1</v>
      </c>
      <c r="S10" s="1">
        <f t="shared" si="2"/>
        <v>0</v>
      </c>
      <c r="T10" s="1">
        <f t="shared" si="3"/>
        <v>3</v>
      </c>
      <c r="U10" s="1">
        <f t="shared" si="4"/>
        <v>3</v>
      </c>
      <c r="V10" s="1" t="str">
        <f t="shared" si="14"/>
        <v>WSF Liblar</v>
      </c>
      <c r="W10" s="1">
        <f t="shared" si="5"/>
        <v>0</v>
      </c>
      <c r="X10" s="1">
        <f t="shared" si="6"/>
        <v>1</v>
      </c>
      <c r="Y10" s="1">
        <f t="shared" si="7"/>
        <v>0</v>
      </c>
      <c r="Z10" s="1">
        <f t="shared" si="8"/>
        <v>3</v>
      </c>
      <c r="AA10" s="1">
        <f t="shared" si="9"/>
        <v>3</v>
      </c>
      <c r="AD10" s="77" t="str">
        <f>Saisondaten!B19</f>
        <v>KCNW Berlin</v>
      </c>
      <c r="AE10" s="1">
        <f t="shared" si="15"/>
        <v>3</v>
      </c>
      <c r="AF10" s="1">
        <f t="shared" si="10"/>
        <v>1</v>
      </c>
      <c r="AG10" s="1">
        <f t="shared" si="11"/>
        <v>0</v>
      </c>
      <c r="AH10" s="1">
        <f t="shared" si="12"/>
        <v>18</v>
      </c>
      <c r="AI10" s="1">
        <f t="shared" si="13"/>
        <v>5</v>
      </c>
      <c r="BU10" s="77"/>
      <c r="BV10" s="77"/>
    </row>
    <row r="11" spans="1:74" ht="16.5">
      <c r="A11" s="12">
        <f t="shared" si="16"/>
        <v>5</v>
      </c>
      <c r="B11" s="12" t="s">
        <v>18</v>
      </c>
      <c r="C11" s="12">
        <v>2</v>
      </c>
      <c r="D11" s="13">
        <v>0.4166666666666667</v>
      </c>
      <c r="E11" s="12" t="str">
        <f>Saisondaten!B18</f>
        <v>PSC Coburg</v>
      </c>
      <c r="F11" s="12" t="s">
        <v>28</v>
      </c>
      <c r="G11" s="12" t="str">
        <f>Saisondaten!B23</f>
        <v>KP Münster</v>
      </c>
      <c r="H11" s="14">
        <v>10</v>
      </c>
      <c r="I11" s="12" t="s">
        <v>28</v>
      </c>
      <c r="J11" s="14">
        <v>2</v>
      </c>
      <c r="K11" s="121" t="str">
        <f>IF(VLOOKUP(A11,Schiedsrichter!$A$3:$I$58,8,FALSE)=0,"-",VLOOKUP(A11,Schiedsrichter!$A$3:$I$58,8,FALSE))</f>
        <v>ACC Hamburg</v>
      </c>
      <c r="L11" s="111" t="s">
        <v>122</v>
      </c>
      <c r="M11" s="124" t="str">
        <f>IF(VLOOKUP(A11,Schiedsrichter!$A$3:$I$58,9,FALSE)=0,"-",VLOOKUP(A11,Schiedsrichter!$A$3:$I$58,9,FALSE))</f>
        <v>KCNW Berlin</v>
      </c>
      <c r="O11" s="1">
        <f t="shared" si="17"/>
        <v>1</v>
      </c>
      <c r="P11" s="1" t="str">
        <f t="shared" si="18"/>
        <v>PSC Coburg</v>
      </c>
      <c r="Q11" s="1">
        <f t="shared" si="0"/>
        <v>1</v>
      </c>
      <c r="R11" s="1">
        <f t="shared" si="1"/>
        <v>0</v>
      </c>
      <c r="S11" s="1">
        <f t="shared" si="2"/>
        <v>0</v>
      </c>
      <c r="T11" s="1">
        <f t="shared" si="3"/>
        <v>10</v>
      </c>
      <c r="U11" s="1">
        <f t="shared" si="4"/>
        <v>2</v>
      </c>
      <c r="V11" s="1" t="str">
        <f t="shared" si="14"/>
        <v>KP Münster</v>
      </c>
      <c r="W11" s="1">
        <f t="shared" si="5"/>
        <v>0</v>
      </c>
      <c r="X11" s="1">
        <f t="shared" si="6"/>
        <v>0</v>
      </c>
      <c r="Y11" s="1">
        <f t="shared" si="7"/>
        <v>1</v>
      </c>
      <c r="Z11" s="1">
        <f t="shared" si="8"/>
        <v>2</v>
      </c>
      <c r="AA11" s="1">
        <f t="shared" si="9"/>
        <v>10</v>
      </c>
      <c r="AD11" s="77" t="str">
        <f>Saisondaten!B20</f>
        <v>WSF Liblar</v>
      </c>
      <c r="AE11" s="1">
        <f t="shared" si="15"/>
        <v>2</v>
      </c>
      <c r="AF11" s="1">
        <f t="shared" si="10"/>
        <v>1</v>
      </c>
      <c r="AG11" s="1">
        <f t="shared" si="11"/>
        <v>0</v>
      </c>
      <c r="AH11" s="1">
        <f t="shared" si="12"/>
        <v>8</v>
      </c>
      <c r="AI11" s="1">
        <f t="shared" si="13"/>
        <v>5</v>
      </c>
      <c r="BU11" s="77"/>
      <c r="BV11" s="77"/>
    </row>
    <row r="12" spans="1:74" ht="16.5">
      <c r="A12" s="79">
        <f t="shared" si="16"/>
        <v>6</v>
      </c>
      <c r="B12" s="79" t="s">
        <v>18</v>
      </c>
      <c r="C12" s="79">
        <v>2</v>
      </c>
      <c r="D12" s="80">
        <v>0.4479166666666667</v>
      </c>
      <c r="E12" s="79" t="str">
        <f>Saisondaten!B21</f>
        <v>KSVH Berlin</v>
      </c>
      <c r="F12" s="79" t="s">
        <v>28</v>
      </c>
      <c r="G12" s="79" t="str">
        <f>Saisondaten!B22</f>
        <v>1. MKC Duisburg</v>
      </c>
      <c r="H12" s="81">
        <v>1</v>
      </c>
      <c r="I12" s="79" t="s">
        <v>28</v>
      </c>
      <c r="J12" s="81">
        <v>4</v>
      </c>
      <c r="K12" s="122" t="str">
        <f>IF(VLOOKUP(A12,Schiedsrichter!$A$3:$I$58,8,FALSE)=0,"-",VLOOKUP(A12,Schiedsrichter!$A$3:$I$58,8,FALSE))</f>
        <v>WSF Liblar</v>
      </c>
      <c r="L12" s="112" t="s">
        <v>122</v>
      </c>
      <c r="M12" s="125" t="str">
        <f>IF(VLOOKUP(A12,Schiedsrichter!$A$3:$I$58,9,FALSE)=0,"-",VLOOKUP(A12,Schiedsrichter!$A$3:$I$58,9,FALSE))</f>
        <v>KRM Essen</v>
      </c>
      <c r="O12" s="1">
        <f t="shared" si="17"/>
        <v>1</v>
      </c>
      <c r="P12" s="1" t="str">
        <f t="shared" si="18"/>
        <v>KSVH Berlin</v>
      </c>
      <c r="Q12" s="1">
        <f t="shared" si="0"/>
        <v>0</v>
      </c>
      <c r="R12" s="1">
        <f t="shared" si="1"/>
        <v>0</v>
      </c>
      <c r="S12" s="1">
        <f t="shared" si="2"/>
        <v>1</v>
      </c>
      <c r="T12" s="1">
        <f t="shared" si="3"/>
        <v>1</v>
      </c>
      <c r="U12" s="1">
        <f t="shared" si="4"/>
        <v>4</v>
      </c>
      <c r="V12" s="1" t="str">
        <f t="shared" si="14"/>
        <v>1. MKC Duisburg</v>
      </c>
      <c r="W12" s="1">
        <f t="shared" si="5"/>
        <v>1</v>
      </c>
      <c r="X12" s="1">
        <f t="shared" si="6"/>
        <v>0</v>
      </c>
      <c r="Y12" s="1">
        <f t="shared" si="7"/>
        <v>0</v>
      </c>
      <c r="Z12" s="1">
        <f t="shared" si="8"/>
        <v>4</v>
      </c>
      <c r="AA12" s="1">
        <f t="shared" si="9"/>
        <v>1</v>
      </c>
      <c r="AD12" s="77" t="str">
        <f>Saisondaten!B21</f>
        <v>KSVH Berlin</v>
      </c>
      <c r="AE12" s="1">
        <f t="shared" si="15"/>
        <v>1</v>
      </c>
      <c r="AF12" s="1">
        <f t="shared" si="10"/>
        <v>0</v>
      </c>
      <c r="AG12" s="1">
        <f t="shared" si="11"/>
        <v>1</v>
      </c>
      <c r="AH12" s="1">
        <f t="shared" si="12"/>
        <v>5</v>
      </c>
      <c r="AI12" s="1">
        <f t="shared" si="13"/>
        <v>5</v>
      </c>
      <c r="BU12" s="77"/>
      <c r="BV12" s="77"/>
    </row>
    <row r="13" spans="1:74" ht="16.5">
      <c r="A13" s="12">
        <f t="shared" si="16"/>
        <v>7</v>
      </c>
      <c r="B13" s="12" t="s">
        <v>18</v>
      </c>
      <c r="C13" s="12">
        <v>2</v>
      </c>
      <c r="D13" s="13">
        <v>0.4791666666666667</v>
      </c>
      <c r="E13" s="12" t="str">
        <f>Saisondaten!B16</f>
        <v>ACC Hamburg</v>
      </c>
      <c r="F13" s="12" t="s">
        <v>28</v>
      </c>
      <c r="G13" s="12" t="str">
        <f>Saisondaten!B19</f>
        <v>KCNW Berlin</v>
      </c>
      <c r="H13" s="14">
        <v>4</v>
      </c>
      <c r="I13" s="12" t="s">
        <v>28</v>
      </c>
      <c r="J13" s="14">
        <v>4</v>
      </c>
      <c r="K13" s="121" t="str">
        <f>IF(VLOOKUP(A13,Schiedsrichter!$A$3:$I$58,8,FALSE)=0,"-",VLOOKUP(A13,Schiedsrichter!$A$3:$I$58,8,FALSE))</f>
        <v>KSVH Berlin</v>
      </c>
      <c r="L13" s="111" t="s">
        <v>122</v>
      </c>
      <c r="M13" s="124" t="str">
        <f>IF(VLOOKUP(A13,Schiedsrichter!$A$3:$I$58,9,FALSE)=0,"-",VLOOKUP(A13,Schiedsrichter!$A$3:$I$58,9,FALSE))</f>
        <v>1. MKC Duisburg</v>
      </c>
      <c r="O13" s="1">
        <f t="shared" si="17"/>
        <v>1</v>
      </c>
      <c r="P13" s="1" t="str">
        <f t="shared" si="18"/>
        <v>ACC Hamburg</v>
      </c>
      <c r="Q13" s="1">
        <f t="shared" si="0"/>
        <v>0</v>
      </c>
      <c r="R13" s="1">
        <f t="shared" si="1"/>
        <v>1</v>
      </c>
      <c r="S13" s="1">
        <f t="shared" si="2"/>
        <v>0</v>
      </c>
      <c r="T13" s="1">
        <f t="shared" si="3"/>
        <v>4</v>
      </c>
      <c r="U13" s="1">
        <f t="shared" si="4"/>
        <v>4</v>
      </c>
      <c r="V13" s="1" t="str">
        <f t="shared" si="14"/>
        <v>KCNW Berlin</v>
      </c>
      <c r="W13" s="1">
        <f t="shared" si="5"/>
        <v>0</v>
      </c>
      <c r="X13" s="1">
        <f t="shared" si="6"/>
        <v>1</v>
      </c>
      <c r="Y13" s="1">
        <f t="shared" si="7"/>
        <v>0</v>
      </c>
      <c r="Z13" s="1">
        <f t="shared" si="8"/>
        <v>4</v>
      </c>
      <c r="AA13" s="1">
        <f t="shared" si="9"/>
        <v>4</v>
      </c>
      <c r="AD13" s="77" t="str">
        <f>Saisondaten!B22</f>
        <v>1. MKC Duisburg</v>
      </c>
      <c r="AE13" s="1">
        <f t="shared" si="15"/>
        <v>1</v>
      </c>
      <c r="AF13" s="1">
        <f t="shared" si="10"/>
        <v>0</v>
      </c>
      <c r="AG13" s="1">
        <f t="shared" si="11"/>
        <v>0</v>
      </c>
      <c r="AH13" s="1">
        <f t="shared" si="12"/>
        <v>7</v>
      </c>
      <c r="AI13" s="1">
        <f t="shared" si="13"/>
        <v>3</v>
      </c>
      <c r="BU13" s="77"/>
      <c r="BV13" s="77"/>
    </row>
    <row r="14" spans="1:74" ht="16.5">
      <c r="A14" s="79">
        <f t="shared" si="16"/>
        <v>8</v>
      </c>
      <c r="B14" s="79" t="s">
        <v>18</v>
      </c>
      <c r="C14" s="79">
        <v>2</v>
      </c>
      <c r="D14" s="80">
        <v>0.5104166666666667</v>
      </c>
      <c r="E14" s="79" t="str">
        <f>Saisondaten!B17</f>
        <v>KRM Essen</v>
      </c>
      <c r="F14" s="79" t="s">
        <v>28</v>
      </c>
      <c r="G14" s="79" t="str">
        <f>Saisondaten!B20</f>
        <v>WSF Liblar</v>
      </c>
      <c r="H14" s="81">
        <v>4</v>
      </c>
      <c r="I14" s="79" t="s">
        <v>28</v>
      </c>
      <c r="J14" s="81">
        <v>0</v>
      </c>
      <c r="K14" s="122" t="str">
        <f>IF(VLOOKUP(A14,Schiedsrichter!$A$3:$I$58,8,FALSE)=0,"-",VLOOKUP(A14,Schiedsrichter!$A$3:$I$58,8,FALSE))</f>
        <v>KP Münster</v>
      </c>
      <c r="L14" s="112" t="s">
        <v>122</v>
      </c>
      <c r="M14" s="125" t="str">
        <f>IF(VLOOKUP(A14,Schiedsrichter!$A$3:$I$58,9,FALSE)=0,"-",VLOOKUP(A14,Schiedsrichter!$A$3:$I$58,9,FALSE))</f>
        <v>PSC Coburg</v>
      </c>
      <c r="O14" s="1">
        <f t="shared" si="17"/>
        <v>1</v>
      </c>
      <c r="P14" s="1" t="str">
        <f t="shared" si="18"/>
        <v>KRM Essen</v>
      </c>
      <c r="Q14" s="1">
        <f t="shared" si="0"/>
        <v>1</v>
      </c>
      <c r="R14" s="1">
        <f t="shared" si="1"/>
        <v>0</v>
      </c>
      <c r="S14" s="1">
        <f t="shared" si="2"/>
        <v>0</v>
      </c>
      <c r="T14" s="1">
        <f t="shared" si="3"/>
        <v>4</v>
      </c>
      <c r="U14" s="1">
        <f t="shared" si="4"/>
        <v>0</v>
      </c>
      <c r="V14" s="1" t="str">
        <f t="shared" si="14"/>
        <v>WSF Liblar</v>
      </c>
      <c r="W14" s="1">
        <f t="shared" si="5"/>
        <v>0</v>
      </c>
      <c r="X14" s="1">
        <f t="shared" si="6"/>
        <v>0</v>
      </c>
      <c r="Y14" s="1">
        <f t="shared" si="7"/>
        <v>1</v>
      </c>
      <c r="Z14" s="1">
        <f t="shared" si="8"/>
        <v>0</v>
      </c>
      <c r="AA14" s="1">
        <f t="shared" si="9"/>
        <v>4</v>
      </c>
      <c r="AD14" s="77" t="str">
        <f>Saisondaten!B23</f>
        <v>KP Münster</v>
      </c>
      <c r="AE14" s="1">
        <f t="shared" si="15"/>
        <v>0</v>
      </c>
      <c r="AF14" s="1">
        <f t="shared" si="10"/>
        <v>0</v>
      </c>
      <c r="AG14" s="1">
        <f t="shared" si="11"/>
        <v>0</v>
      </c>
      <c r="AH14" s="1">
        <f t="shared" si="12"/>
        <v>0</v>
      </c>
      <c r="AI14" s="1">
        <f t="shared" si="13"/>
        <v>0</v>
      </c>
      <c r="BU14" s="77"/>
      <c r="BV14" s="77"/>
    </row>
    <row r="15" spans="1:30" ht="16.5">
      <c r="A15" s="12">
        <f t="shared" si="16"/>
        <v>9</v>
      </c>
      <c r="B15" s="12" t="s">
        <v>18</v>
      </c>
      <c r="C15" s="12">
        <v>2</v>
      </c>
      <c r="D15" s="13">
        <v>0.5416666666666667</v>
      </c>
      <c r="E15" s="12" t="str">
        <f>Saisondaten!B19</f>
        <v>KCNW Berlin</v>
      </c>
      <c r="F15" s="12" t="s">
        <v>28</v>
      </c>
      <c r="G15" s="12" t="str">
        <f>Saisondaten!B21</f>
        <v>KSVH Berlin</v>
      </c>
      <c r="H15" s="14">
        <v>4</v>
      </c>
      <c r="I15" s="12" t="s">
        <v>28</v>
      </c>
      <c r="J15" s="14">
        <v>1</v>
      </c>
      <c r="K15" s="121" t="str">
        <f>IF(VLOOKUP(A15,Schiedsrichter!$A$3:$I$58,8,FALSE)=0,"-",VLOOKUP(A15,Schiedsrichter!$A$3:$I$58,8,FALSE))</f>
        <v>1. MKC Duisburg</v>
      </c>
      <c r="L15" s="111" t="s">
        <v>122</v>
      </c>
      <c r="M15" s="124" t="str">
        <f>IF(VLOOKUP(A15,Schiedsrichter!$A$3:$I$58,9,FALSE)=0,"-",VLOOKUP(A15,Schiedsrichter!$A$3:$I$58,9,FALSE))</f>
        <v>ACC Hamburg</v>
      </c>
      <c r="O15" s="1">
        <f t="shared" si="17"/>
        <v>1</v>
      </c>
      <c r="P15" s="1" t="str">
        <f t="shared" si="18"/>
        <v>KCNW Berlin</v>
      </c>
      <c r="Q15" s="1">
        <f t="shared" si="0"/>
        <v>1</v>
      </c>
      <c r="R15" s="1">
        <f t="shared" si="1"/>
        <v>0</v>
      </c>
      <c r="S15" s="1">
        <f t="shared" si="2"/>
        <v>0</v>
      </c>
      <c r="T15" s="1">
        <f t="shared" si="3"/>
        <v>4</v>
      </c>
      <c r="U15" s="1">
        <f t="shared" si="4"/>
        <v>1</v>
      </c>
      <c r="V15" s="1" t="str">
        <f t="shared" si="14"/>
        <v>KSVH Berlin</v>
      </c>
      <c r="W15" s="1">
        <f t="shared" si="5"/>
        <v>0</v>
      </c>
      <c r="X15" s="1">
        <f t="shared" si="6"/>
        <v>0</v>
      </c>
      <c r="Y15" s="1">
        <f t="shared" si="7"/>
        <v>1</v>
      </c>
      <c r="Z15" s="1">
        <f t="shared" si="8"/>
        <v>1</v>
      </c>
      <c r="AA15" s="1">
        <f t="shared" si="9"/>
        <v>4</v>
      </c>
      <c r="AD15" s="77"/>
    </row>
    <row r="16" spans="1:30" ht="16.5">
      <c r="A16" s="79">
        <f t="shared" si="16"/>
        <v>10</v>
      </c>
      <c r="B16" s="79" t="s">
        <v>18</v>
      </c>
      <c r="C16" s="79">
        <v>2</v>
      </c>
      <c r="D16" s="80">
        <v>0.5729166666666667</v>
      </c>
      <c r="E16" s="79" t="str">
        <f>Saisondaten!B17</f>
        <v>KRM Essen</v>
      </c>
      <c r="F16" s="79" t="s">
        <v>28</v>
      </c>
      <c r="G16" s="79" t="str">
        <f>Saisondaten!B23</f>
        <v>KP Münster</v>
      </c>
      <c r="H16" s="81">
        <v>8</v>
      </c>
      <c r="I16" s="79" t="s">
        <v>28</v>
      </c>
      <c r="J16" s="81">
        <v>4</v>
      </c>
      <c r="K16" s="122" t="str">
        <f>IF(VLOOKUP(A16,Schiedsrichter!$A$3:$I$58,8,FALSE)=0,"-",VLOOKUP(A16,Schiedsrichter!$A$3:$I$58,8,FALSE))</f>
        <v>PSC Coburg</v>
      </c>
      <c r="L16" s="112" t="s">
        <v>122</v>
      </c>
      <c r="M16" s="125" t="str">
        <f>IF(VLOOKUP(A16,Schiedsrichter!$A$3:$I$58,9,FALSE)=0,"-",VLOOKUP(A16,Schiedsrichter!$A$3:$I$58,9,FALSE))</f>
        <v>WSF Liblar</v>
      </c>
      <c r="O16" s="1">
        <f t="shared" si="17"/>
        <v>1</v>
      </c>
      <c r="P16" s="1" t="str">
        <f t="shared" si="18"/>
        <v>KRM Essen</v>
      </c>
      <c r="Q16" s="1">
        <f t="shared" si="0"/>
        <v>1</v>
      </c>
      <c r="R16" s="1">
        <f t="shared" si="1"/>
        <v>0</v>
      </c>
      <c r="S16" s="1">
        <f t="shared" si="2"/>
        <v>0</v>
      </c>
      <c r="T16" s="1">
        <f t="shared" si="3"/>
        <v>8</v>
      </c>
      <c r="U16" s="1">
        <f t="shared" si="4"/>
        <v>4</v>
      </c>
      <c r="V16" s="1" t="str">
        <f t="shared" si="14"/>
        <v>KP Münster</v>
      </c>
      <c r="W16" s="1">
        <f t="shared" si="5"/>
        <v>0</v>
      </c>
      <c r="X16" s="1">
        <f t="shared" si="6"/>
        <v>0</v>
      </c>
      <c r="Y16" s="1">
        <f t="shared" si="7"/>
        <v>1</v>
      </c>
      <c r="Z16" s="1">
        <f t="shared" si="8"/>
        <v>4</v>
      </c>
      <c r="AA16" s="1">
        <f t="shared" si="9"/>
        <v>8</v>
      </c>
      <c r="AD16" s="77"/>
    </row>
    <row r="17" spans="1:35" ht="16.5">
      <c r="A17" s="12">
        <f t="shared" si="16"/>
        <v>11</v>
      </c>
      <c r="B17" s="12" t="s">
        <v>18</v>
      </c>
      <c r="C17" s="12">
        <v>2</v>
      </c>
      <c r="D17" s="13">
        <v>0.6041666666666667</v>
      </c>
      <c r="E17" s="12" t="str">
        <f>Saisondaten!B16</f>
        <v>ACC Hamburg</v>
      </c>
      <c r="F17" s="12" t="s">
        <v>28</v>
      </c>
      <c r="G17" s="12" t="str">
        <f>Saisondaten!B22</f>
        <v>1. MKC Duisburg</v>
      </c>
      <c r="H17" s="14">
        <v>9</v>
      </c>
      <c r="I17" s="12" t="s">
        <v>28</v>
      </c>
      <c r="J17" s="14">
        <v>1</v>
      </c>
      <c r="K17" s="121" t="str">
        <f>IF(VLOOKUP(A17,Schiedsrichter!$A$3:$I$58,8,FALSE)=0,"-",VLOOKUP(A17,Schiedsrichter!$A$3:$I$58,8,FALSE))</f>
        <v>KSVH Berlin</v>
      </c>
      <c r="L17" s="111" t="s">
        <v>122</v>
      </c>
      <c r="M17" s="124" t="str">
        <f>IF(VLOOKUP(A17,Schiedsrichter!$A$3:$I$58,9,FALSE)=0,"-",VLOOKUP(A17,Schiedsrichter!$A$3:$I$58,9,FALSE))</f>
        <v>KRM Essen</v>
      </c>
      <c r="O17" s="1">
        <f t="shared" si="17"/>
        <v>1</v>
      </c>
      <c r="P17" s="1" t="str">
        <f t="shared" si="18"/>
        <v>ACC Hamburg</v>
      </c>
      <c r="Q17" s="1">
        <f t="shared" si="0"/>
        <v>1</v>
      </c>
      <c r="R17" s="1">
        <f t="shared" si="1"/>
        <v>0</v>
      </c>
      <c r="S17" s="1">
        <f t="shared" si="2"/>
        <v>0</v>
      </c>
      <c r="T17" s="1">
        <f t="shared" si="3"/>
        <v>9</v>
      </c>
      <c r="U17" s="1">
        <f t="shared" si="4"/>
        <v>1</v>
      </c>
      <c r="V17" s="1" t="str">
        <f>G17</f>
        <v>1. MKC Duisburg</v>
      </c>
      <c r="W17" s="1">
        <f t="shared" si="5"/>
        <v>0</v>
      </c>
      <c r="X17" s="1">
        <f t="shared" si="6"/>
        <v>0</v>
      </c>
      <c r="Y17" s="1">
        <f t="shared" si="7"/>
        <v>1</v>
      </c>
      <c r="Z17" s="1">
        <f t="shared" si="8"/>
        <v>1</v>
      </c>
      <c r="AA17" s="1">
        <f t="shared" si="9"/>
        <v>9</v>
      </c>
      <c r="AD17" s="30" t="s">
        <v>30</v>
      </c>
      <c r="AE17" s="1" t="s">
        <v>39</v>
      </c>
      <c r="AF17" s="1" t="s">
        <v>32</v>
      </c>
      <c r="AG17" s="1" t="s">
        <v>38</v>
      </c>
      <c r="AH17" s="1" t="s">
        <v>35</v>
      </c>
      <c r="AI17" s="1" t="s">
        <v>16</v>
      </c>
    </row>
    <row r="18" spans="1:35" ht="16.5">
      <c r="A18" s="79">
        <f t="shared" si="16"/>
        <v>12</v>
      </c>
      <c r="B18" s="79" t="s">
        <v>18</v>
      </c>
      <c r="C18" s="79">
        <v>2</v>
      </c>
      <c r="D18" s="80">
        <v>0.6354166666666667</v>
      </c>
      <c r="E18" s="79" t="str">
        <f>Saisondaten!B18</f>
        <v>PSC Coburg</v>
      </c>
      <c r="F18" s="79" t="s">
        <v>28</v>
      </c>
      <c r="G18" s="79" t="str">
        <f>Saisondaten!B20</f>
        <v>WSF Liblar</v>
      </c>
      <c r="H18" s="81">
        <v>6</v>
      </c>
      <c r="I18" s="79" t="s">
        <v>28</v>
      </c>
      <c r="J18" s="81">
        <v>3</v>
      </c>
      <c r="K18" s="122" t="str">
        <f>IF(VLOOKUP(A18,Schiedsrichter!$A$3:$I$58,8,FALSE)=0,"-",VLOOKUP(A18,Schiedsrichter!$A$3:$I$58,8,FALSE))</f>
        <v>KCNW Berlin</v>
      </c>
      <c r="L18" s="112" t="s">
        <v>122</v>
      </c>
      <c r="M18" s="125" t="str">
        <f>IF(VLOOKUP(A18,Schiedsrichter!$A$3:$I$58,9,FALSE)=0,"-",VLOOKUP(A18,Schiedsrichter!$A$3:$I$58,9,FALSE))</f>
        <v>KP Münster</v>
      </c>
      <c r="O18" s="1">
        <f t="shared" si="17"/>
        <v>1</v>
      </c>
      <c r="P18" s="1" t="str">
        <f t="shared" si="18"/>
        <v>PSC Coburg</v>
      </c>
      <c r="Q18" s="1">
        <f t="shared" si="0"/>
        <v>1</v>
      </c>
      <c r="R18" s="1">
        <f t="shared" si="1"/>
        <v>0</v>
      </c>
      <c r="S18" s="1">
        <f t="shared" si="2"/>
        <v>0</v>
      </c>
      <c r="T18" s="1">
        <f t="shared" si="3"/>
        <v>6</v>
      </c>
      <c r="U18" s="1">
        <f t="shared" si="4"/>
        <v>3</v>
      </c>
      <c r="V18" s="1" t="str">
        <f t="shared" si="14"/>
        <v>WSF Liblar</v>
      </c>
      <c r="W18" s="1">
        <f t="shared" si="5"/>
        <v>0</v>
      </c>
      <c r="X18" s="1">
        <f t="shared" si="6"/>
        <v>0</v>
      </c>
      <c r="Y18" s="1">
        <f t="shared" si="7"/>
        <v>1</v>
      </c>
      <c r="Z18" s="1">
        <f t="shared" si="8"/>
        <v>3</v>
      </c>
      <c r="AA18" s="1">
        <f t="shared" si="9"/>
        <v>6</v>
      </c>
      <c r="AD18" s="1" t="str">
        <f>AD7</f>
        <v>ACC Hamburg</v>
      </c>
      <c r="AE18" s="1">
        <f>SUMIF($V$7:$V$37,$AD18,W$7:W$37)</f>
        <v>0</v>
      </c>
      <c r="AF18" s="1">
        <f>SUMIF($V$7:$V$37,$AD18,X$7:X$37)</f>
        <v>0</v>
      </c>
      <c r="AG18" s="1">
        <f>SUMIF($V$7:$V$37,$AD18,Y$7:Y$37)</f>
        <v>0</v>
      </c>
      <c r="AH18" s="1">
        <f>SUMIF($V$7:$V$37,$AD18,Z$7:Z$37)</f>
        <v>0</v>
      </c>
      <c r="AI18" s="1">
        <f>SUMIF($V$7:$V$37,$AD18,AA$7:AA$37)</f>
        <v>0</v>
      </c>
    </row>
    <row r="19" spans="1:35" ht="16.5">
      <c r="A19" s="12">
        <f t="shared" si="16"/>
        <v>13</v>
      </c>
      <c r="B19" s="12" t="s">
        <v>18</v>
      </c>
      <c r="C19" s="12">
        <v>2</v>
      </c>
      <c r="D19" s="13">
        <v>0.6666666666666667</v>
      </c>
      <c r="E19" s="12" t="str">
        <f>Saisondaten!B17</f>
        <v>KRM Essen</v>
      </c>
      <c r="F19" s="12" t="s">
        <v>28</v>
      </c>
      <c r="G19" s="12" t="str">
        <f>Saisondaten!B21</f>
        <v>KSVH Berlin</v>
      </c>
      <c r="H19" s="14">
        <v>4</v>
      </c>
      <c r="I19" s="12" t="s">
        <v>28</v>
      </c>
      <c r="J19" s="14">
        <v>3</v>
      </c>
      <c r="K19" s="121" t="str">
        <f>IF(VLOOKUP(A19,Schiedsrichter!$A$3:$I$58,8,FALSE)=0,"-",VLOOKUP(A19,Schiedsrichter!$A$3:$I$58,8,FALSE))</f>
        <v>KP Münster</v>
      </c>
      <c r="L19" s="111" t="s">
        <v>122</v>
      </c>
      <c r="M19" s="124" t="str">
        <f>IF(VLOOKUP(A19,Schiedsrichter!$A$3:$I$58,9,FALSE)=0,"-",VLOOKUP(A19,Schiedsrichter!$A$3:$I$58,9,FALSE))</f>
        <v>KCNW Berlin</v>
      </c>
      <c r="O19" s="1">
        <f t="shared" si="17"/>
        <v>1</v>
      </c>
      <c r="P19" s="1" t="str">
        <f t="shared" si="18"/>
        <v>KRM Essen</v>
      </c>
      <c r="Q19" s="1">
        <f t="shared" si="0"/>
        <v>1</v>
      </c>
      <c r="R19" s="1">
        <f t="shared" si="1"/>
        <v>0</v>
      </c>
      <c r="S19" s="1">
        <f t="shared" si="2"/>
        <v>0</v>
      </c>
      <c r="T19" s="1">
        <f t="shared" si="3"/>
        <v>4</v>
      </c>
      <c r="U19" s="1">
        <f t="shared" si="4"/>
        <v>3</v>
      </c>
      <c r="V19" s="1" t="str">
        <f t="shared" si="14"/>
        <v>KSVH Berlin</v>
      </c>
      <c r="W19" s="1">
        <f t="shared" si="5"/>
        <v>0</v>
      </c>
      <c r="X19" s="1">
        <f t="shared" si="6"/>
        <v>0</v>
      </c>
      <c r="Y19" s="1">
        <f t="shared" si="7"/>
        <v>1</v>
      </c>
      <c r="Z19" s="1">
        <f t="shared" si="8"/>
        <v>3</v>
      </c>
      <c r="AA19" s="1">
        <f t="shared" si="9"/>
        <v>4</v>
      </c>
      <c r="AD19" s="77" t="str">
        <f aca="true" t="shared" si="19" ref="AD19:AD25">AD8</f>
        <v>KRM Essen</v>
      </c>
      <c r="AE19" s="77">
        <f aca="true" t="shared" si="20" ref="AE19:AE25">SUMIF($V$7:$V$37,$AD19,W$7:W$37)</f>
        <v>0</v>
      </c>
      <c r="AF19" s="77">
        <f aca="true" t="shared" si="21" ref="AF19:AF25">SUMIF($V$7:$V$37,$AD19,X$7:X$37)</f>
        <v>0</v>
      </c>
      <c r="AG19" s="77">
        <f aca="true" t="shared" si="22" ref="AG19:AG25">SUMIF($V$7:$V$37,$AD19,Y$7:Y$37)</f>
        <v>1</v>
      </c>
      <c r="AH19" s="77">
        <f aca="true" t="shared" si="23" ref="AH19:AH25">SUMIF($V$7:$V$37,$AD19,Z$7:Z$37)</f>
        <v>2</v>
      </c>
      <c r="AI19" s="77">
        <f aca="true" t="shared" si="24" ref="AI19:AI25">SUMIF($V$7:$V$37,$AD19,AA$7:AA$37)</f>
        <v>7</v>
      </c>
    </row>
    <row r="20" spans="1:35" ht="16.5">
      <c r="A20" s="79">
        <f t="shared" si="16"/>
        <v>14</v>
      </c>
      <c r="B20" s="79" t="s">
        <v>18</v>
      </c>
      <c r="C20" s="79">
        <v>2</v>
      </c>
      <c r="D20" s="80">
        <v>0.6979166666666667</v>
      </c>
      <c r="E20" s="79" t="str">
        <f>Saisondaten!B16</f>
        <v>ACC Hamburg</v>
      </c>
      <c r="F20" s="79" t="s">
        <v>28</v>
      </c>
      <c r="G20" s="79" t="str">
        <f>Saisondaten!B18</f>
        <v>PSC Coburg</v>
      </c>
      <c r="H20" s="81">
        <v>4</v>
      </c>
      <c r="I20" s="79" t="s">
        <v>28</v>
      </c>
      <c r="J20" s="81">
        <v>5</v>
      </c>
      <c r="K20" s="122" t="str">
        <f>IF(VLOOKUP(A20,Schiedsrichter!$A$3:$I$58,8,FALSE)=0,"-",VLOOKUP(A20,Schiedsrichter!$A$3:$I$58,8,FALSE))</f>
        <v>WSF Liblar</v>
      </c>
      <c r="L20" s="112" t="s">
        <v>122</v>
      </c>
      <c r="M20" s="125" t="str">
        <f>IF(VLOOKUP(A20,Schiedsrichter!$A$3:$I$58,9,FALSE)=0,"-",VLOOKUP(A20,Schiedsrichter!$A$3:$I$58,9,FALSE))</f>
        <v>KSVH Berlin</v>
      </c>
      <c r="O20" s="1">
        <f t="shared" si="17"/>
        <v>1</v>
      </c>
      <c r="P20" s="1" t="str">
        <f t="shared" si="18"/>
        <v>ACC Hamburg</v>
      </c>
      <c r="Q20" s="1">
        <f t="shared" si="0"/>
        <v>0</v>
      </c>
      <c r="R20" s="1">
        <f t="shared" si="1"/>
        <v>0</v>
      </c>
      <c r="S20" s="1">
        <f t="shared" si="2"/>
        <v>1</v>
      </c>
      <c r="T20" s="1">
        <f t="shared" si="3"/>
        <v>4</v>
      </c>
      <c r="U20" s="1">
        <f t="shared" si="4"/>
        <v>5</v>
      </c>
      <c r="V20" s="1" t="str">
        <f t="shared" si="14"/>
        <v>PSC Coburg</v>
      </c>
      <c r="W20" s="1">
        <f t="shared" si="5"/>
        <v>1</v>
      </c>
      <c r="X20" s="1">
        <f t="shared" si="6"/>
        <v>0</v>
      </c>
      <c r="Y20" s="1">
        <f t="shared" si="7"/>
        <v>0</v>
      </c>
      <c r="Z20" s="1">
        <f t="shared" si="8"/>
        <v>5</v>
      </c>
      <c r="AA20" s="1">
        <f t="shared" si="9"/>
        <v>4</v>
      </c>
      <c r="AD20" s="77" t="str">
        <f t="shared" si="19"/>
        <v>PSC Coburg</v>
      </c>
      <c r="AE20" s="77">
        <f t="shared" si="20"/>
        <v>2</v>
      </c>
      <c r="AF20" s="77">
        <f t="shared" si="21"/>
        <v>0</v>
      </c>
      <c r="AG20" s="77">
        <f t="shared" si="22"/>
        <v>0</v>
      </c>
      <c r="AH20" s="77">
        <f t="shared" si="23"/>
        <v>11</v>
      </c>
      <c r="AI20" s="77">
        <f t="shared" si="24"/>
        <v>9</v>
      </c>
    </row>
    <row r="21" spans="1:35" ht="16.5">
      <c r="A21" s="12">
        <f t="shared" si="16"/>
        <v>15</v>
      </c>
      <c r="B21" s="12" t="s">
        <v>18</v>
      </c>
      <c r="C21" s="12">
        <v>2</v>
      </c>
      <c r="D21" s="13">
        <v>0.7291666666666667</v>
      </c>
      <c r="E21" s="12" t="str">
        <f>Saisondaten!B19</f>
        <v>KCNW Berlin</v>
      </c>
      <c r="F21" s="12" t="s">
        <v>28</v>
      </c>
      <c r="G21" s="12" t="str">
        <f>Saisondaten!B22</f>
        <v>1. MKC Duisburg</v>
      </c>
      <c r="H21" s="14">
        <v>4</v>
      </c>
      <c r="I21" s="12" t="s">
        <v>28</v>
      </c>
      <c r="J21" s="14">
        <v>1</v>
      </c>
      <c r="K21" s="121" t="str">
        <f>IF(VLOOKUP(A21,Schiedsrichter!$A$3:$I$58,8,FALSE)=0,"-",VLOOKUP(A21,Schiedsrichter!$A$3:$I$58,8,FALSE))</f>
        <v>KRM Essen</v>
      </c>
      <c r="L21" s="111" t="s">
        <v>122</v>
      </c>
      <c r="M21" s="124" t="str">
        <f>IF(VLOOKUP(A21,Schiedsrichter!$A$3:$I$58,9,FALSE)=0,"-",VLOOKUP(A21,Schiedsrichter!$A$3:$I$58,9,FALSE))</f>
        <v>ACC Hamburg</v>
      </c>
      <c r="O21" s="1">
        <f>IF(OR(H21="",J21=""),"na",1)</f>
        <v>1</v>
      </c>
      <c r="P21" s="1" t="str">
        <f t="shared" si="18"/>
        <v>KCNW Berlin</v>
      </c>
      <c r="Q21" s="1">
        <f>IF($O21=1,IF($H21&gt;$J21,1,0),"")</f>
        <v>1</v>
      </c>
      <c r="R21" s="1">
        <f>IF($O21=1,IF($H21=$J21,1,0),"")</f>
        <v>0</v>
      </c>
      <c r="S21" s="1">
        <f>IF($O21=1,IF($H21&lt;$J21,1,0),"")</f>
        <v>0</v>
      </c>
      <c r="T21" s="1">
        <f t="shared" si="3"/>
        <v>4</v>
      </c>
      <c r="U21" s="1">
        <f>IF($O21=1,$J21,"")</f>
        <v>1</v>
      </c>
      <c r="V21" s="1" t="str">
        <f t="shared" si="14"/>
        <v>1. MKC Duisburg</v>
      </c>
      <c r="W21" s="1">
        <f>IF($O21=1,IF($H21&lt;$J21,1,0),"")</f>
        <v>0</v>
      </c>
      <c r="X21" s="1">
        <f>IF($O21=1,IF($H21=$J21,1,0),"")</f>
        <v>0</v>
      </c>
      <c r="Y21" s="1">
        <f>IF($O21=1,IF($H21&gt;$J21,1,0),"")</f>
        <v>1</v>
      </c>
      <c r="Z21" s="1">
        <f>IF($O21=1,$J21,"")</f>
        <v>1</v>
      </c>
      <c r="AA21" s="1">
        <f t="shared" si="9"/>
        <v>4</v>
      </c>
      <c r="AD21" s="77" t="str">
        <f t="shared" si="19"/>
        <v>KCNW Berlin</v>
      </c>
      <c r="AE21" s="77">
        <f t="shared" si="20"/>
        <v>1</v>
      </c>
      <c r="AF21" s="77">
        <f t="shared" si="21"/>
        <v>1</v>
      </c>
      <c r="AG21" s="77">
        <f t="shared" si="22"/>
        <v>1</v>
      </c>
      <c r="AH21" s="77">
        <f t="shared" si="23"/>
        <v>6</v>
      </c>
      <c r="AI21" s="77">
        <f t="shared" si="24"/>
        <v>8</v>
      </c>
    </row>
    <row r="22" spans="1:35" ht="16.5">
      <c r="A22" s="79">
        <f t="shared" si="16"/>
        <v>16</v>
      </c>
      <c r="B22" s="79" t="s">
        <v>18</v>
      </c>
      <c r="C22" s="79">
        <v>2</v>
      </c>
      <c r="D22" s="80">
        <v>0.7604166666666667</v>
      </c>
      <c r="E22" s="79" t="str">
        <f>Saisondaten!B20</f>
        <v>WSF Liblar</v>
      </c>
      <c r="F22" s="79" t="s">
        <v>28</v>
      </c>
      <c r="G22" s="79" t="str">
        <f>Saisondaten!B23</f>
        <v>KP Münster</v>
      </c>
      <c r="H22" s="81">
        <v>1</v>
      </c>
      <c r="I22" s="79" t="s">
        <v>28</v>
      </c>
      <c r="J22" s="81">
        <v>0</v>
      </c>
      <c r="K22" s="122" t="str">
        <f>IF(VLOOKUP(A22,Schiedsrichter!$A$3:$I$58,8,FALSE)=0,"-",VLOOKUP(A22,Schiedsrichter!$A$3:$I$58,8,FALSE))</f>
        <v>1. MKC Duisburg</v>
      </c>
      <c r="L22" s="112" t="s">
        <v>122</v>
      </c>
      <c r="M22" s="125" t="str">
        <f>IF(VLOOKUP(A22,Schiedsrichter!$A$3:$I$58,9,FALSE)=0,"-",VLOOKUP(A22,Schiedsrichter!$A$3:$I$58,9,FALSE))</f>
        <v>PSC Coburg</v>
      </c>
      <c r="O22" s="1">
        <f t="shared" si="17"/>
        <v>1</v>
      </c>
      <c r="P22" s="1" t="str">
        <f t="shared" si="18"/>
        <v>WSF Liblar</v>
      </c>
      <c r="Q22" s="1">
        <f t="shared" si="0"/>
        <v>1</v>
      </c>
      <c r="R22" s="1">
        <f t="shared" si="1"/>
        <v>0</v>
      </c>
      <c r="S22" s="1">
        <f t="shared" si="2"/>
        <v>0</v>
      </c>
      <c r="T22" s="1">
        <f t="shared" si="3"/>
        <v>1</v>
      </c>
      <c r="U22" s="1">
        <f t="shared" si="4"/>
        <v>0</v>
      </c>
      <c r="V22" s="1" t="str">
        <f t="shared" si="14"/>
        <v>KP Münster</v>
      </c>
      <c r="W22" s="1">
        <f t="shared" si="5"/>
        <v>0</v>
      </c>
      <c r="X22" s="1">
        <f t="shared" si="6"/>
        <v>0</v>
      </c>
      <c r="Y22" s="1">
        <f t="shared" si="7"/>
        <v>1</v>
      </c>
      <c r="Z22" s="1">
        <f t="shared" si="8"/>
        <v>0</v>
      </c>
      <c r="AA22" s="1">
        <f t="shared" si="9"/>
        <v>1</v>
      </c>
      <c r="AD22" s="77" t="str">
        <f t="shared" si="19"/>
        <v>WSF Liblar</v>
      </c>
      <c r="AE22" s="77">
        <f t="shared" si="20"/>
        <v>0</v>
      </c>
      <c r="AF22" s="77">
        <f t="shared" si="21"/>
        <v>1</v>
      </c>
      <c r="AG22" s="77">
        <f t="shared" si="22"/>
        <v>3</v>
      </c>
      <c r="AH22" s="77">
        <f t="shared" si="23"/>
        <v>7</v>
      </c>
      <c r="AI22" s="77">
        <f t="shared" si="24"/>
        <v>21</v>
      </c>
    </row>
    <row r="23" spans="1:35" ht="7.5" customHeight="1">
      <c r="A23" s="3"/>
      <c r="B23" s="3"/>
      <c r="C23" s="3"/>
      <c r="D23" s="4"/>
      <c r="E23" s="3"/>
      <c r="F23" s="3"/>
      <c r="G23" s="3"/>
      <c r="H23" s="3"/>
      <c r="I23" s="3"/>
      <c r="J23" s="3"/>
      <c r="K23" s="3"/>
      <c r="L23" s="3"/>
      <c r="M23" s="3"/>
      <c r="W23" s="1">
        <f t="shared" si="5"/>
      </c>
      <c r="X23" s="1">
        <f t="shared" si="6"/>
      </c>
      <c r="Y23" s="1">
        <f t="shared" si="7"/>
      </c>
      <c r="Z23" s="1">
        <f t="shared" si="8"/>
      </c>
      <c r="AA23" s="1">
        <f t="shared" si="9"/>
      </c>
      <c r="AD23" s="77" t="str">
        <f t="shared" si="19"/>
        <v>KSVH Berlin</v>
      </c>
      <c r="AE23" s="77">
        <f t="shared" si="20"/>
        <v>0</v>
      </c>
      <c r="AF23" s="77">
        <f t="shared" si="21"/>
        <v>0</v>
      </c>
      <c r="AG23" s="77">
        <f t="shared" si="22"/>
        <v>5</v>
      </c>
      <c r="AH23" s="77">
        <f t="shared" si="23"/>
        <v>9</v>
      </c>
      <c r="AI23" s="77">
        <f t="shared" si="24"/>
        <v>23</v>
      </c>
    </row>
    <row r="24" spans="1:35" ht="17.25">
      <c r="A24" s="231" t="str">
        <f>TEXT(Saisondaten!$C$8,"[$-F800]TTTT, MMMM TT, JJJJ")</f>
        <v>Sonntag, 12. Mai 2019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W24" s="1">
        <f t="shared" si="5"/>
      </c>
      <c r="X24" s="1">
        <f t="shared" si="6"/>
      </c>
      <c r="Y24" s="1">
        <f t="shared" si="7"/>
      </c>
      <c r="Z24" s="1">
        <f t="shared" si="8"/>
      </c>
      <c r="AA24" s="1">
        <f t="shared" si="9"/>
      </c>
      <c r="AD24" s="77" t="str">
        <f t="shared" si="19"/>
        <v>1. MKC Duisburg</v>
      </c>
      <c r="AE24" s="77">
        <f t="shared" si="20"/>
        <v>1</v>
      </c>
      <c r="AF24" s="77">
        <f t="shared" si="21"/>
        <v>2</v>
      </c>
      <c r="AG24" s="77">
        <f t="shared" si="22"/>
        <v>3</v>
      </c>
      <c r="AH24" s="77">
        <f t="shared" si="23"/>
        <v>13</v>
      </c>
      <c r="AI24" s="77">
        <f t="shared" si="24"/>
        <v>23</v>
      </c>
    </row>
    <row r="25" spans="1:35" ht="16.5">
      <c r="A25" s="9">
        <f>A22+1</f>
        <v>17</v>
      </c>
      <c r="B25" s="9" t="s">
        <v>18</v>
      </c>
      <c r="C25" s="9">
        <v>1</v>
      </c>
      <c r="D25" s="10">
        <v>0.3541666666666667</v>
      </c>
      <c r="E25" s="9" t="str">
        <f>Saisondaten!B21</f>
        <v>KSVH Berlin</v>
      </c>
      <c r="F25" s="9" t="s">
        <v>28</v>
      </c>
      <c r="G25" s="9" t="str">
        <f>Saisondaten!B23</f>
        <v>KP Münster</v>
      </c>
      <c r="H25" s="11">
        <v>4</v>
      </c>
      <c r="I25" s="9" t="s">
        <v>28</v>
      </c>
      <c r="J25" s="11">
        <v>1</v>
      </c>
      <c r="K25" s="120" t="str">
        <f>IF(VLOOKUP(A25,Schiedsrichter!$A$3:$I$58,8,FALSE)=0,"-",VLOOKUP(A25,Schiedsrichter!$A$3:$I$58,8,FALSE))</f>
        <v>PSC Coburg</v>
      </c>
      <c r="L25" s="113" t="s">
        <v>122</v>
      </c>
      <c r="M25" s="123" t="str">
        <f>IF(VLOOKUP(A25,Schiedsrichter!$A$3:$I$58,9,FALSE)=0,"-",VLOOKUP(A25,Schiedsrichter!$A$3:$I$58,9,FALSE))</f>
        <v>1. MKC Duisburg</v>
      </c>
      <c r="O25" s="1">
        <f t="shared" si="17"/>
        <v>1</v>
      </c>
      <c r="P25" s="1" t="str">
        <f t="shared" si="18"/>
        <v>KSVH Berlin</v>
      </c>
      <c r="Q25" s="1">
        <f t="shared" si="0"/>
        <v>1</v>
      </c>
      <c r="R25" s="1">
        <f t="shared" si="1"/>
        <v>0</v>
      </c>
      <c r="S25" s="1">
        <f t="shared" si="2"/>
        <v>0</v>
      </c>
      <c r="T25" s="1">
        <f t="shared" si="3"/>
        <v>4</v>
      </c>
      <c r="U25" s="1">
        <f t="shared" si="4"/>
        <v>1</v>
      </c>
      <c r="V25" s="1" t="str">
        <f t="shared" si="14"/>
        <v>KP Münster</v>
      </c>
      <c r="W25" s="1">
        <f t="shared" si="5"/>
        <v>0</v>
      </c>
      <c r="X25" s="1">
        <f t="shared" si="6"/>
        <v>0</v>
      </c>
      <c r="Y25" s="1">
        <f t="shared" si="7"/>
        <v>1</v>
      </c>
      <c r="Z25" s="1">
        <f t="shared" si="8"/>
        <v>1</v>
      </c>
      <c r="AA25" s="1">
        <f t="shared" si="9"/>
        <v>4</v>
      </c>
      <c r="AD25" s="77" t="str">
        <f t="shared" si="19"/>
        <v>KP Münster</v>
      </c>
      <c r="AE25" s="77">
        <f t="shared" si="20"/>
        <v>0</v>
      </c>
      <c r="AF25" s="77">
        <f t="shared" si="21"/>
        <v>0</v>
      </c>
      <c r="AG25" s="77">
        <f t="shared" si="22"/>
        <v>7</v>
      </c>
      <c r="AH25" s="77">
        <f t="shared" si="23"/>
        <v>11</v>
      </c>
      <c r="AI25" s="77">
        <f t="shared" si="24"/>
        <v>44</v>
      </c>
    </row>
    <row r="26" spans="1:30" ht="16.5">
      <c r="A26" s="12">
        <f aca="true" t="shared" si="25" ref="A26:A36">A25+1</f>
        <v>18</v>
      </c>
      <c r="B26" s="12" t="s">
        <v>18</v>
      </c>
      <c r="C26" s="12">
        <v>2</v>
      </c>
      <c r="D26" s="13">
        <v>0.3541666666666667</v>
      </c>
      <c r="E26" s="12" t="str">
        <f>Saisondaten!B17</f>
        <v>KRM Essen</v>
      </c>
      <c r="F26" s="12" t="s">
        <v>28</v>
      </c>
      <c r="G26" s="12" t="str">
        <f>Saisondaten!B19</f>
        <v>KCNW Berlin</v>
      </c>
      <c r="H26" s="14">
        <v>3</v>
      </c>
      <c r="I26" s="12" t="s">
        <v>28</v>
      </c>
      <c r="J26" s="14">
        <v>0</v>
      </c>
      <c r="K26" s="121" t="str">
        <f>IF(VLOOKUP(A26,Schiedsrichter!$A$3:$I$58,8,FALSE)=0,"-",VLOOKUP(A26,Schiedsrichter!$A$3:$I$58,8,FALSE))</f>
        <v>ACC Hamburg</v>
      </c>
      <c r="L26" s="111" t="s">
        <v>122</v>
      </c>
      <c r="M26" s="124" t="str">
        <f>IF(VLOOKUP(A26,Schiedsrichter!$A$3:$I$58,9,FALSE)=0,"-",VLOOKUP(A26,Schiedsrichter!$A$3:$I$58,9,FALSE))</f>
        <v>WSF Liblar</v>
      </c>
      <c r="O26" s="1">
        <f t="shared" si="17"/>
        <v>1</v>
      </c>
      <c r="P26" s="1" t="str">
        <f t="shared" si="18"/>
        <v>KRM Essen</v>
      </c>
      <c r="Q26" s="1">
        <f t="shared" si="0"/>
        <v>1</v>
      </c>
      <c r="R26" s="1">
        <f t="shared" si="1"/>
        <v>0</v>
      </c>
      <c r="S26" s="1">
        <f t="shared" si="2"/>
        <v>0</v>
      </c>
      <c r="T26" s="1">
        <f t="shared" si="3"/>
        <v>3</v>
      </c>
      <c r="U26" s="1">
        <f t="shared" si="4"/>
        <v>0</v>
      </c>
      <c r="V26" s="1" t="str">
        <f t="shared" si="14"/>
        <v>KCNW Berlin</v>
      </c>
      <c r="W26" s="1">
        <f t="shared" si="5"/>
        <v>0</v>
      </c>
      <c r="X26" s="1">
        <f t="shared" si="6"/>
        <v>0</v>
      </c>
      <c r="Y26" s="1">
        <f t="shared" si="7"/>
        <v>1</v>
      </c>
      <c r="Z26" s="1">
        <f t="shared" si="8"/>
        <v>0</v>
      </c>
      <c r="AA26" s="1">
        <f t="shared" si="9"/>
        <v>3</v>
      </c>
      <c r="AD26" s="77"/>
    </row>
    <row r="27" spans="1:27" ht="16.5">
      <c r="A27" s="79">
        <f t="shared" si="25"/>
        <v>19</v>
      </c>
      <c r="B27" s="79" t="s">
        <v>18</v>
      </c>
      <c r="C27" s="79">
        <v>1</v>
      </c>
      <c r="D27" s="80">
        <v>0.3854166666666667</v>
      </c>
      <c r="E27" s="79" t="str">
        <f>Saisondaten!B18</f>
        <v>PSC Coburg</v>
      </c>
      <c r="F27" s="79" t="s">
        <v>28</v>
      </c>
      <c r="G27" s="79" t="str">
        <f>Saisondaten!B22</f>
        <v>1. MKC Duisburg</v>
      </c>
      <c r="H27" s="81">
        <v>4</v>
      </c>
      <c r="I27" s="79" t="s">
        <v>28</v>
      </c>
      <c r="J27" s="81">
        <v>4</v>
      </c>
      <c r="K27" s="122" t="str">
        <f>IF(VLOOKUP(A27,Schiedsrichter!$A$3:$I$58,8,FALSE)=0,"-",VLOOKUP(A27,Schiedsrichter!$A$3:$I$58,8,FALSE))</f>
        <v>KSVH Berlin</v>
      </c>
      <c r="L27" s="112" t="s">
        <v>122</v>
      </c>
      <c r="M27" s="125" t="str">
        <f>IF(VLOOKUP(A27,Schiedsrichter!$A$3:$I$58,9,FALSE)=0,"-",VLOOKUP(A27,Schiedsrichter!$A$3:$I$58,9,FALSE))</f>
        <v>KP Münster</v>
      </c>
      <c r="O27" s="1">
        <f t="shared" si="17"/>
        <v>1</v>
      </c>
      <c r="P27" s="1" t="str">
        <f t="shared" si="18"/>
        <v>PSC Coburg</v>
      </c>
      <c r="Q27" s="1">
        <f t="shared" si="0"/>
        <v>0</v>
      </c>
      <c r="R27" s="1">
        <f t="shared" si="1"/>
        <v>1</v>
      </c>
      <c r="S27" s="1">
        <f t="shared" si="2"/>
        <v>0</v>
      </c>
      <c r="T27" s="1">
        <f t="shared" si="3"/>
        <v>4</v>
      </c>
      <c r="U27" s="1">
        <f t="shared" si="4"/>
        <v>4</v>
      </c>
      <c r="V27" s="1" t="str">
        <f t="shared" si="14"/>
        <v>1. MKC Duisburg</v>
      </c>
      <c r="W27" s="1">
        <f t="shared" si="5"/>
        <v>0</v>
      </c>
      <c r="X27" s="1">
        <f t="shared" si="6"/>
        <v>1</v>
      </c>
      <c r="Y27" s="1">
        <f t="shared" si="7"/>
        <v>0</v>
      </c>
      <c r="Z27" s="1">
        <f t="shared" si="8"/>
        <v>4</v>
      </c>
      <c r="AA27" s="1">
        <f t="shared" si="9"/>
        <v>4</v>
      </c>
    </row>
    <row r="28" spans="1:27" ht="16.5">
      <c r="A28" s="79">
        <f t="shared" si="25"/>
        <v>20</v>
      </c>
      <c r="B28" s="79" t="s">
        <v>18</v>
      </c>
      <c r="C28" s="79">
        <v>2</v>
      </c>
      <c r="D28" s="80">
        <v>0.3854166666666667</v>
      </c>
      <c r="E28" s="79" t="str">
        <f>Saisondaten!B16</f>
        <v>ACC Hamburg</v>
      </c>
      <c r="F28" s="79" t="s">
        <v>28</v>
      </c>
      <c r="G28" s="79" t="str">
        <f>Saisondaten!B20</f>
        <v>WSF Liblar</v>
      </c>
      <c r="H28" s="81">
        <v>8</v>
      </c>
      <c r="I28" s="79" t="s">
        <v>28</v>
      </c>
      <c r="J28" s="81">
        <v>1</v>
      </c>
      <c r="K28" s="122" t="str">
        <f>IF(VLOOKUP(A28,Schiedsrichter!$A$3:$I$58,8,FALSE)=0,"-",VLOOKUP(A28,Schiedsrichter!$A$3:$I$58,8,FALSE))</f>
        <v>KRM Essen</v>
      </c>
      <c r="L28" s="112" t="s">
        <v>122</v>
      </c>
      <c r="M28" s="125" t="str">
        <f>IF(VLOOKUP(A28,Schiedsrichter!$A$3:$I$58,9,FALSE)=0,"-",VLOOKUP(A28,Schiedsrichter!$A$3:$I$58,9,FALSE))</f>
        <v>KCNW Berlin</v>
      </c>
      <c r="O28" s="1">
        <f t="shared" si="17"/>
        <v>1</v>
      </c>
      <c r="P28" s="1" t="str">
        <f t="shared" si="18"/>
        <v>ACC Hamburg</v>
      </c>
      <c r="Q28" s="1">
        <f t="shared" si="0"/>
        <v>1</v>
      </c>
      <c r="R28" s="1">
        <f t="shared" si="1"/>
        <v>0</v>
      </c>
      <c r="S28" s="1">
        <f t="shared" si="2"/>
        <v>0</v>
      </c>
      <c r="T28" s="1">
        <f t="shared" si="3"/>
        <v>8</v>
      </c>
      <c r="U28" s="1">
        <f t="shared" si="4"/>
        <v>1</v>
      </c>
      <c r="V28" s="1" t="str">
        <f t="shared" si="14"/>
        <v>WSF Liblar</v>
      </c>
      <c r="W28" s="1">
        <f t="shared" si="5"/>
        <v>0</v>
      </c>
      <c r="X28" s="1">
        <f t="shared" si="6"/>
        <v>0</v>
      </c>
      <c r="Y28" s="1">
        <f t="shared" si="7"/>
        <v>1</v>
      </c>
      <c r="Z28" s="1">
        <f t="shared" si="8"/>
        <v>1</v>
      </c>
      <c r="AA28" s="1">
        <f t="shared" si="9"/>
        <v>8</v>
      </c>
    </row>
    <row r="29" spans="1:27" ht="16.5">
      <c r="A29" s="12">
        <f t="shared" si="25"/>
        <v>21</v>
      </c>
      <c r="B29" s="12" t="s">
        <v>18</v>
      </c>
      <c r="C29" s="12">
        <v>2</v>
      </c>
      <c r="D29" s="13">
        <v>0.4166666666666667</v>
      </c>
      <c r="E29" s="12" t="str">
        <f>Saisondaten!B19</f>
        <v>KCNW Berlin</v>
      </c>
      <c r="F29" s="12" t="s">
        <v>28</v>
      </c>
      <c r="G29" s="12" t="str">
        <f>Saisondaten!B23</f>
        <v>KP Münster</v>
      </c>
      <c r="H29" s="14">
        <v>7</v>
      </c>
      <c r="I29" s="12" t="s">
        <v>28</v>
      </c>
      <c r="J29" s="14">
        <v>0</v>
      </c>
      <c r="K29" s="121" t="str">
        <f>IF(VLOOKUP(A29,Schiedsrichter!$A$3:$I$58,8,FALSE)=0,"-",VLOOKUP(A29,Schiedsrichter!$A$3:$I$58,8,FALSE))</f>
        <v>ACC Hamburg</v>
      </c>
      <c r="L29" s="111" t="s">
        <v>122</v>
      </c>
      <c r="M29" s="124" t="str">
        <f>IF(VLOOKUP(A29,Schiedsrichter!$A$3:$I$58,9,FALSE)=0,"-",VLOOKUP(A29,Schiedsrichter!$A$3:$I$58,9,FALSE))</f>
        <v>KSVH Berlin</v>
      </c>
      <c r="O29" s="1">
        <f t="shared" si="17"/>
        <v>1</v>
      </c>
      <c r="P29" s="1" t="str">
        <f t="shared" si="18"/>
        <v>KCNW Berlin</v>
      </c>
      <c r="Q29" s="1">
        <f t="shared" si="0"/>
        <v>1</v>
      </c>
      <c r="R29" s="1">
        <f t="shared" si="1"/>
        <v>0</v>
      </c>
      <c r="S29" s="1">
        <f t="shared" si="2"/>
        <v>0</v>
      </c>
      <c r="T29" s="1">
        <f t="shared" si="3"/>
        <v>7</v>
      </c>
      <c r="U29" s="1">
        <f t="shared" si="4"/>
        <v>0</v>
      </c>
      <c r="V29" s="1" t="str">
        <f t="shared" si="14"/>
        <v>KP Münster</v>
      </c>
      <c r="W29" s="1">
        <f t="shared" si="5"/>
        <v>0</v>
      </c>
      <c r="X29" s="1">
        <f t="shared" si="6"/>
        <v>0</v>
      </c>
      <c r="Y29" s="1">
        <f t="shared" si="7"/>
        <v>1</v>
      </c>
      <c r="Z29" s="1">
        <f t="shared" si="8"/>
        <v>0</v>
      </c>
      <c r="AA29" s="1">
        <f t="shared" si="9"/>
        <v>7</v>
      </c>
    </row>
    <row r="30" spans="1:27" ht="16.5">
      <c r="A30" s="79">
        <f t="shared" si="25"/>
        <v>22</v>
      </c>
      <c r="B30" s="79" t="s">
        <v>18</v>
      </c>
      <c r="C30" s="79">
        <v>2</v>
      </c>
      <c r="D30" s="80">
        <v>0.4444444444444445</v>
      </c>
      <c r="E30" s="79" t="str">
        <f>Saisondaten!B20</f>
        <v>WSF Liblar</v>
      </c>
      <c r="F30" s="79" t="s">
        <v>28</v>
      </c>
      <c r="G30" s="79" t="str">
        <f>Saisondaten!B22</f>
        <v>1. MKC Duisburg</v>
      </c>
      <c r="H30" s="81">
        <v>3</v>
      </c>
      <c r="I30" s="79" t="s">
        <v>28</v>
      </c>
      <c r="J30" s="81">
        <v>3</v>
      </c>
      <c r="K30" s="122" t="str">
        <f>IF(VLOOKUP(A30,Schiedsrichter!$A$3:$I$58,8,FALSE)=0,"-",VLOOKUP(A30,Schiedsrichter!$A$3:$I$58,8,FALSE))</f>
        <v>KCNW Berlin</v>
      </c>
      <c r="L30" s="112" t="s">
        <v>122</v>
      </c>
      <c r="M30" s="125" t="str">
        <f>IF(VLOOKUP(A30,Schiedsrichter!$A$3:$I$58,9,FALSE)=0,"-",VLOOKUP(A30,Schiedsrichter!$A$3:$I$58,9,FALSE))</f>
        <v>KP Münster</v>
      </c>
      <c r="O30" s="1">
        <f t="shared" si="17"/>
        <v>1</v>
      </c>
      <c r="P30" s="1" t="str">
        <f t="shared" si="18"/>
        <v>WSF Liblar</v>
      </c>
      <c r="Q30" s="1">
        <f t="shared" si="0"/>
        <v>0</v>
      </c>
      <c r="R30" s="1">
        <f t="shared" si="1"/>
        <v>1</v>
      </c>
      <c r="S30" s="1">
        <f t="shared" si="2"/>
        <v>0</v>
      </c>
      <c r="T30" s="1">
        <f t="shared" si="3"/>
        <v>3</v>
      </c>
      <c r="U30" s="1">
        <f t="shared" si="4"/>
        <v>3</v>
      </c>
      <c r="V30" s="1" t="str">
        <f t="shared" si="14"/>
        <v>1. MKC Duisburg</v>
      </c>
      <c r="W30" s="1">
        <f t="shared" si="5"/>
        <v>0</v>
      </c>
      <c r="X30" s="1">
        <f t="shared" si="6"/>
        <v>1</v>
      </c>
      <c r="Y30" s="1">
        <f t="shared" si="7"/>
        <v>0</v>
      </c>
      <c r="Z30" s="1">
        <f t="shared" si="8"/>
        <v>3</v>
      </c>
      <c r="AA30" s="1">
        <f t="shared" si="9"/>
        <v>3</v>
      </c>
    </row>
    <row r="31" spans="1:41" ht="16.5">
      <c r="A31" s="12">
        <f t="shared" si="25"/>
        <v>23</v>
      </c>
      <c r="B31" s="12" t="s">
        <v>18</v>
      </c>
      <c r="C31" s="12">
        <v>2</v>
      </c>
      <c r="D31" s="13">
        <v>0.46875000000000006</v>
      </c>
      <c r="E31" s="12" t="str">
        <f>Saisondaten!B17</f>
        <v>KRM Essen</v>
      </c>
      <c r="F31" s="12" t="s">
        <v>28</v>
      </c>
      <c r="G31" s="12" t="str">
        <f>Saisondaten!B18</f>
        <v>PSC Coburg</v>
      </c>
      <c r="H31" s="14">
        <v>5</v>
      </c>
      <c r="I31" s="12" t="s">
        <v>28</v>
      </c>
      <c r="J31" s="14">
        <v>6</v>
      </c>
      <c r="K31" s="121" t="str">
        <f>IF(VLOOKUP(A31,Schiedsrichter!$A$3:$I$58,8,FALSE)=0,"-",VLOOKUP(A31,Schiedsrichter!$A$3:$I$58,8,FALSE))</f>
        <v>WSF Liblar</v>
      </c>
      <c r="L31" s="111" t="s">
        <v>122</v>
      </c>
      <c r="M31" s="124" t="str">
        <f>IF(VLOOKUP(A31,Schiedsrichter!$A$3:$I$58,9,FALSE)=0,"-",VLOOKUP(A31,Schiedsrichter!$A$3:$I$58,9,FALSE))</f>
        <v>1. MKC Duisburg</v>
      </c>
      <c r="O31" s="1">
        <f t="shared" si="17"/>
        <v>1</v>
      </c>
      <c r="P31" s="1" t="str">
        <f t="shared" si="18"/>
        <v>KRM Essen</v>
      </c>
      <c r="Q31" s="1">
        <f t="shared" si="0"/>
        <v>0</v>
      </c>
      <c r="R31" s="1">
        <f t="shared" si="1"/>
        <v>0</v>
      </c>
      <c r="S31" s="1">
        <f t="shared" si="2"/>
        <v>1</v>
      </c>
      <c r="T31" s="1">
        <f t="shared" si="3"/>
        <v>5</v>
      </c>
      <c r="U31" s="1">
        <f t="shared" si="4"/>
        <v>6</v>
      </c>
      <c r="V31" s="1" t="str">
        <f t="shared" si="14"/>
        <v>PSC Coburg</v>
      </c>
      <c r="W31" s="1">
        <f t="shared" si="5"/>
        <v>1</v>
      </c>
      <c r="X31" s="1">
        <f t="shared" si="6"/>
        <v>0</v>
      </c>
      <c r="Y31" s="1">
        <f t="shared" si="7"/>
        <v>0</v>
      </c>
      <c r="Z31" s="1">
        <f t="shared" si="8"/>
        <v>6</v>
      </c>
      <c r="AA31" s="1">
        <f t="shared" si="9"/>
        <v>5</v>
      </c>
      <c r="AC31" s="1" t="s">
        <v>52</v>
      </c>
      <c r="AD31" s="30" t="s">
        <v>30</v>
      </c>
      <c r="AF31" s="1" t="s">
        <v>39</v>
      </c>
      <c r="AG31" s="1" t="s">
        <v>32</v>
      </c>
      <c r="AH31" s="1" t="s">
        <v>38</v>
      </c>
      <c r="AI31" s="1" t="s">
        <v>35</v>
      </c>
      <c r="AJ31" s="1" t="s">
        <v>16</v>
      </c>
      <c r="AK31" s="1" t="s">
        <v>51</v>
      </c>
      <c r="AL31" s="230" t="s">
        <v>53</v>
      </c>
      <c r="AM31" s="230"/>
      <c r="AN31" s="230"/>
      <c r="AO31" s="230"/>
    </row>
    <row r="32" spans="1:72" ht="16.5">
      <c r="A32" s="82">
        <f t="shared" si="25"/>
        <v>24</v>
      </c>
      <c r="B32" s="82" t="s">
        <v>18</v>
      </c>
      <c r="C32" s="82">
        <v>2</v>
      </c>
      <c r="D32" s="83">
        <v>0.49305555555555564</v>
      </c>
      <c r="E32" s="82" t="str">
        <f>Saisondaten!B16</f>
        <v>ACC Hamburg</v>
      </c>
      <c r="F32" s="79" t="s">
        <v>28</v>
      </c>
      <c r="G32" s="82" t="str">
        <f>Saisondaten!B21</f>
        <v>KSVH Berlin</v>
      </c>
      <c r="H32" s="84">
        <v>6</v>
      </c>
      <c r="I32" s="82" t="s">
        <v>28</v>
      </c>
      <c r="J32" s="84">
        <v>1</v>
      </c>
      <c r="K32" s="126" t="str">
        <f>IF(VLOOKUP(A32,Schiedsrichter!$A$3:$I$58,8,FALSE)=0,"-",VLOOKUP(A32,Schiedsrichter!$A$3:$I$58,8,FALSE))</f>
        <v>KRM Essen</v>
      </c>
      <c r="L32" s="114" t="s">
        <v>122</v>
      </c>
      <c r="M32" s="129" t="str">
        <f>IF(VLOOKUP(A32,Schiedsrichter!$A$3:$I$58,9,FALSE)=0,"-",VLOOKUP(A32,Schiedsrichter!$A$3:$I$58,9,FALSE))</f>
        <v>PSC Coburg</v>
      </c>
      <c r="O32" s="1">
        <f t="shared" si="17"/>
        <v>1</v>
      </c>
      <c r="P32" s="1" t="str">
        <f t="shared" si="18"/>
        <v>ACC Hamburg</v>
      </c>
      <c r="Q32" s="1">
        <f t="shared" si="0"/>
        <v>1</v>
      </c>
      <c r="R32" s="1">
        <f t="shared" si="1"/>
        <v>0</v>
      </c>
      <c r="S32" s="1">
        <f t="shared" si="2"/>
        <v>0</v>
      </c>
      <c r="T32" s="1">
        <f t="shared" si="3"/>
        <v>6</v>
      </c>
      <c r="U32" s="1">
        <f t="shared" si="4"/>
        <v>1</v>
      </c>
      <c r="V32" s="1" t="str">
        <f t="shared" si="14"/>
        <v>KSVH Berlin</v>
      </c>
      <c r="W32" s="1">
        <f t="shared" si="5"/>
        <v>0</v>
      </c>
      <c r="X32" s="1">
        <f t="shared" si="6"/>
        <v>0</v>
      </c>
      <c r="Y32" s="1">
        <f t="shared" si="7"/>
        <v>1</v>
      </c>
      <c r="Z32" s="1">
        <f t="shared" si="8"/>
        <v>1</v>
      </c>
      <c r="AA32" s="1">
        <f t="shared" si="9"/>
        <v>6</v>
      </c>
      <c r="AC32" s="1">
        <f>RANK(BT32,$BT$32:$BT$43,1)</f>
        <v>1</v>
      </c>
      <c r="AD32" s="1" t="str">
        <f>AD18</f>
        <v>ACC Hamburg</v>
      </c>
      <c r="AF32" s="1">
        <f aca="true" t="shared" si="26" ref="AF32:AJ39">AE18+AE7</f>
        <v>5</v>
      </c>
      <c r="AG32" s="1">
        <f t="shared" si="26"/>
        <v>1</v>
      </c>
      <c r="AH32" s="1">
        <f t="shared" si="26"/>
        <v>1</v>
      </c>
      <c r="AI32" s="1">
        <f t="shared" si="26"/>
        <v>45</v>
      </c>
      <c r="AJ32" s="1">
        <f t="shared" si="26"/>
        <v>15</v>
      </c>
      <c r="AK32" s="1">
        <f>AF32*3+AG32*1</f>
        <v>16</v>
      </c>
      <c r="AL32" s="1">
        <f>AK32*99999999+(AI32-AJ32)*888888+AI32*7777</f>
        <v>1627016589</v>
      </c>
      <c r="AM32" s="1">
        <f>RANK(AL32,AL$32:AL$43,0)</f>
        <v>1</v>
      </c>
      <c r="AN32" s="1">
        <f>IF(COUNTIF(AM$32:AM32,AM32)&gt;1,1,0)</f>
        <v>0</v>
      </c>
      <c r="AO32" s="1">
        <f>AN32+AL32</f>
        <v>1627016589</v>
      </c>
      <c r="AP32" s="1">
        <f>RANK(AO32,AO$32:AO$43,0)</f>
        <v>1</v>
      </c>
      <c r="AQ32" s="1">
        <f>IF(COUNTIF(AP$32:AP32,AP32)&gt;1,1,0)</f>
        <v>0</v>
      </c>
      <c r="AR32" s="1">
        <f>AQ32+AO32</f>
        <v>1627016589</v>
      </c>
      <c r="AS32" s="1">
        <f>RANK(AR32,AR$32:AR$43,0)</f>
        <v>1</v>
      </c>
      <c r="AT32" s="1">
        <f>IF(COUNTIF(AS$32:AS32,AS32)&gt;1,1,0)</f>
        <v>0</v>
      </c>
      <c r="AU32" s="1">
        <f>AT32+AR32</f>
        <v>1627016589</v>
      </c>
      <c r="AV32" s="1">
        <f>RANK(AU32,AU$32:AU$43,0)</f>
        <v>1</v>
      </c>
      <c r="AW32" s="1">
        <f>IF(COUNTIF(AV$32:AV32,AV32)&gt;1,1,0)</f>
        <v>0</v>
      </c>
      <c r="AX32" s="1">
        <f>AW32+AU32</f>
        <v>1627016589</v>
      </c>
      <c r="AY32" s="1">
        <f>RANK(AX32,AX$32:AX$43,0)</f>
        <v>1</v>
      </c>
      <c r="AZ32" s="1">
        <f>IF(COUNTIF(AY$32:AY32,AY32)&gt;1,1,0)</f>
        <v>0</v>
      </c>
      <c r="BA32" s="1">
        <f>AZ32+AX32</f>
        <v>1627016589</v>
      </c>
      <c r="BB32" s="1">
        <f>RANK(BA32,BA$32:BA$43,0)</f>
        <v>1</v>
      </c>
      <c r="BC32" s="1">
        <f>IF(COUNTIF(BB$32:BB32,BB32)&gt;1,1,0)</f>
        <v>0</v>
      </c>
      <c r="BD32" s="1">
        <f>BC32+BA32</f>
        <v>1627016589</v>
      </c>
      <c r="BE32" s="1">
        <f>RANK(BD32,BD$32:BD$43,0)</f>
        <v>1</v>
      </c>
      <c r="BF32" s="1">
        <f>IF(COUNTIF(BE$32:BE32,BE32)&gt;1,1,0)</f>
        <v>0</v>
      </c>
      <c r="BG32" s="1">
        <f>BF32+BD32</f>
        <v>1627016589</v>
      </c>
      <c r="BH32" s="1">
        <f>RANK(BG32,BG$32:BG$43,0)</f>
        <v>1</v>
      </c>
      <c r="BI32" s="1">
        <f>IF(COUNTIF(BH$32:BH32,BH32)&gt;1,1,0)</f>
        <v>0</v>
      </c>
      <c r="BJ32" s="1">
        <f>BI32+BG32</f>
        <v>1627016589</v>
      </c>
      <c r="BK32" s="1">
        <f>RANK(BJ32,BJ$32:BJ$43,0)</f>
        <v>1</v>
      </c>
      <c r="BL32" s="1">
        <f>IF(COUNTIF(BK$32:BK32,BK32)&gt;1,1,0)</f>
        <v>0</v>
      </c>
      <c r="BM32" s="1">
        <f>BL32+BJ32</f>
        <v>1627016589</v>
      </c>
      <c r="BN32" s="1">
        <f>RANK(BM32,BM$32:BM$43,0)</f>
        <v>1</v>
      </c>
      <c r="BO32" s="1">
        <f>IF(COUNTIF(BN$32:BN32,BN32)&gt;1,1,0)</f>
        <v>0</v>
      </c>
      <c r="BP32" s="1">
        <f>BO32+BM32</f>
        <v>1627016589</v>
      </c>
      <c r="BQ32" s="1">
        <f>RANK(BP32,BP$32:BP$43,0)</f>
        <v>1</v>
      </c>
      <c r="BR32" s="1">
        <f>IF(COUNTIF(BQ$32:BQ32,BQ32)&gt;1,1,0)</f>
        <v>0</v>
      </c>
      <c r="BS32" s="1">
        <f>BR32+BP32</f>
        <v>1627016589</v>
      </c>
      <c r="BT32" s="1">
        <f>RANK(BS32,BS$32:BS$43,0)</f>
        <v>1</v>
      </c>
    </row>
    <row r="33" spans="1:72" ht="16.5">
      <c r="A33" s="12">
        <f t="shared" si="25"/>
        <v>25</v>
      </c>
      <c r="B33" s="12" t="s">
        <v>18</v>
      </c>
      <c r="C33" s="12">
        <v>2</v>
      </c>
      <c r="D33" s="13">
        <v>0.5208333333333334</v>
      </c>
      <c r="E33" s="12" t="str">
        <f>Saisondaten!B22</f>
        <v>1. MKC Duisburg</v>
      </c>
      <c r="F33" s="12" t="s">
        <v>28</v>
      </c>
      <c r="G33" s="12" t="str">
        <f>Saisondaten!B23</f>
        <v>KP Münster</v>
      </c>
      <c r="H33" s="14">
        <v>7</v>
      </c>
      <c r="I33" s="12" t="s">
        <v>28</v>
      </c>
      <c r="J33" s="14">
        <v>3</v>
      </c>
      <c r="K33" s="121" t="str">
        <f>IF(VLOOKUP(A33,Schiedsrichter!$A$3:$I$58,8,FALSE)=0,"-",VLOOKUP(A33,Schiedsrichter!$A$3:$I$58,8,FALSE))</f>
        <v>ACC Hamburg</v>
      </c>
      <c r="L33" s="111" t="s">
        <v>122</v>
      </c>
      <c r="M33" s="124" t="str">
        <f>IF(VLOOKUP(A33,Schiedsrichter!$A$3:$I$58,9,FALSE)=0,"-",VLOOKUP(A33,Schiedsrichter!$A$3:$I$58,9,FALSE))</f>
        <v>KRM Essen</v>
      </c>
      <c r="O33" s="1">
        <f t="shared" si="17"/>
        <v>1</v>
      </c>
      <c r="P33" s="1" t="str">
        <f t="shared" si="18"/>
        <v>1. MKC Duisburg</v>
      </c>
      <c r="Q33" s="1">
        <f t="shared" si="0"/>
        <v>1</v>
      </c>
      <c r="R33" s="1">
        <f t="shared" si="1"/>
        <v>0</v>
      </c>
      <c r="S33" s="1">
        <f t="shared" si="2"/>
        <v>0</v>
      </c>
      <c r="T33" s="1">
        <f t="shared" si="3"/>
        <v>7</v>
      </c>
      <c r="U33" s="1">
        <f t="shared" si="4"/>
        <v>3</v>
      </c>
      <c r="V33" s="1" t="str">
        <f t="shared" si="14"/>
        <v>KP Münster</v>
      </c>
      <c r="W33" s="1">
        <f t="shared" si="5"/>
        <v>0</v>
      </c>
      <c r="X33" s="1">
        <f t="shared" si="6"/>
        <v>0</v>
      </c>
      <c r="Y33" s="1">
        <f t="shared" si="7"/>
        <v>1</v>
      </c>
      <c r="Z33" s="1">
        <f t="shared" si="8"/>
        <v>3</v>
      </c>
      <c r="AA33" s="1">
        <f t="shared" si="9"/>
        <v>7</v>
      </c>
      <c r="AC33" s="1">
        <f aca="true" t="shared" si="27" ref="AC33:AC39">RANK(BT33,$BT$32:$BT$43,1)</f>
        <v>3</v>
      </c>
      <c r="AD33" s="77" t="str">
        <f aca="true" t="shared" si="28" ref="AD33:AD39">AD19</f>
        <v>KRM Essen</v>
      </c>
      <c r="AF33" s="77">
        <f t="shared" si="26"/>
        <v>5</v>
      </c>
      <c r="AG33" s="77">
        <f t="shared" si="26"/>
        <v>0</v>
      </c>
      <c r="AH33" s="77">
        <f t="shared" si="26"/>
        <v>2</v>
      </c>
      <c r="AI33" s="77">
        <f t="shared" si="26"/>
        <v>28</v>
      </c>
      <c r="AJ33" s="77">
        <f t="shared" si="26"/>
        <v>20</v>
      </c>
      <c r="AK33" s="77">
        <f aca="true" t="shared" si="29" ref="AK33:AK39">AF33*3+AG33*1</f>
        <v>15</v>
      </c>
      <c r="AL33" s="1">
        <f aca="true" t="shared" si="30" ref="AL33:AL39">AK33*99999999+(AI33-AJ33)*888888+AI33*7777</f>
        <v>1507328845</v>
      </c>
      <c r="AM33" s="1">
        <f aca="true" t="shared" si="31" ref="AM33:AM39">RANK(AL33,$AL$32:$AL$43,0)</f>
        <v>3</v>
      </c>
      <c r="AN33" s="1">
        <f>IF(COUNTIF(AM$32:AM33,AM33)&gt;1,1,0)</f>
        <v>0</v>
      </c>
      <c r="AO33" s="1">
        <f aca="true" t="shared" si="32" ref="AO33:AO39">AN33+AL33</f>
        <v>1507328845</v>
      </c>
      <c r="AP33" s="1">
        <f aca="true" t="shared" si="33" ref="AP33:AP39">RANK(AO33,AO$32:AO$43,0)</f>
        <v>3</v>
      </c>
      <c r="AQ33" s="1">
        <f>IF(COUNTIF(AP$32:AP33,AP33)&gt;1,1,0)</f>
        <v>0</v>
      </c>
      <c r="AR33" s="1">
        <f aca="true" t="shared" si="34" ref="AR33:AR39">AQ33+AO33</f>
        <v>1507328845</v>
      </c>
      <c r="AS33" s="1">
        <f aca="true" t="shared" si="35" ref="AS33:AS39">RANK(AR33,AR$32:AR$43,0)</f>
        <v>3</v>
      </c>
      <c r="AT33" s="1">
        <f>IF(COUNTIF(AS$32:AS33,AS33)&gt;1,1,0)</f>
        <v>0</v>
      </c>
      <c r="AU33" s="1">
        <f aca="true" t="shared" si="36" ref="AU33:AU39">AT33+AR33</f>
        <v>1507328845</v>
      </c>
      <c r="AV33" s="1">
        <f aca="true" t="shared" si="37" ref="AV33:AV39">RANK(AU33,AU$32:AU$43,0)</f>
        <v>3</v>
      </c>
      <c r="AW33" s="1">
        <f>IF(COUNTIF(AV$32:AV33,AV33)&gt;1,1,0)</f>
        <v>0</v>
      </c>
      <c r="AX33" s="1">
        <f aca="true" t="shared" si="38" ref="AX33:AX39">AW33+AU33</f>
        <v>1507328845</v>
      </c>
      <c r="AY33" s="1">
        <f aca="true" t="shared" si="39" ref="AY33:AY39">RANK(AX33,AX$32:AX$43,0)</f>
        <v>3</v>
      </c>
      <c r="AZ33" s="1">
        <f>IF(COUNTIF(AY$32:AY33,AY33)&gt;1,1,0)</f>
        <v>0</v>
      </c>
      <c r="BA33" s="1">
        <f aca="true" t="shared" si="40" ref="BA33:BA39">AZ33+AX33</f>
        <v>1507328845</v>
      </c>
      <c r="BB33" s="1">
        <f aca="true" t="shared" si="41" ref="BB33:BB39">RANK(BA33,BA$32:BA$43,0)</f>
        <v>3</v>
      </c>
      <c r="BC33" s="1">
        <f>IF(COUNTIF(BB$32:BB33,BB33)&gt;1,1,0)</f>
        <v>0</v>
      </c>
      <c r="BD33" s="1">
        <f aca="true" t="shared" si="42" ref="BD33:BD39">BC33+BA33</f>
        <v>1507328845</v>
      </c>
      <c r="BE33" s="1">
        <f aca="true" t="shared" si="43" ref="BE33:BE39">RANK(BD33,BD$32:BD$43,0)</f>
        <v>3</v>
      </c>
      <c r="BF33" s="1">
        <f>IF(COUNTIF(BE$32:BE33,BE33)&gt;1,1,0)</f>
        <v>0</v>
      </c>
      <c r="BG33" s="1">
        <f aca="true" t="shared" si="44" ref="BG33:BG39">BF33+BD33</f>
        <v>1507328845</v>
      </c>
      <c r="BH33" s="1">
        <f aca="true" t="shared" si="45" ref="BH33:BH39">RANK(BG33,BG$32:BG$43,0)</f>
        <v>3</v>
      </c>
      <c r="BI33" s="1">
        <f>IF(COUNTIF(BH$32:BH33,BH33)&gt;1,1,0)</f>
        <v>0</v>
      </c>
      <c r="BJ33" s="1">
        <f aca="true" t="shared" si="46" ref="BJ33:BJ39">BI33+BG33</f>
        <v>1507328845</v>
      </c>
      <c r="BK33" s="1">
        <f aca="true" t="shared" si="47" ref="BK33:BK39">RANK(BJ33,BJ$32:BJ$43,0)</f>
        <v>3</v>
      </c>
      <c r="BL33" s="1">
        <f>IF(COUNTIF(BK$32:BK33,BK33)&gt;1,1,0)</f>
        <v>0</v>
      </c>
      <c r="BM33" s="1">
        <f aca="true" t="shared" si="48" ref="BM33:BM39">BL33+BJ33</f>
        <v>1507328845</v>
      </c>
      <c r="BN33" s="1">
        <f aca="true" t="shared" si="49" ref="BN33:BN39">RANK(BM33,BM$32:BM$43,0)</f>
        <v>3</v>
      </c>
      <c r="BO33" s="1">
        <f>IF(COUNTIF(BN$32:BN33,BN33)&gt;1,1,0)</f>
        <v>0</v>
      </c>
      <c r="BP33" s="1">
        <f aca="true" t="shared" si="50" ref="BP33:BP39">BO33+BM33</f>
        <v>1507328845</v>
      </c>
      <c r="BQ33" s="1">
        <f aca="true" t="shared" si="51" ref="BQ33:BQ39">RANK(BP33,BP$32:BP$43,0)</f>
        <v>3</v>
      </c>
      <c r="BR33" s="1">
        <f>IF(COUNTIF(BQ$32:BQ33,BQ33)&gt;1,1,0)</f>
        <v>0</v>
      </c>
      <c r="BS33" s="1">
        <f aca="true" t="shared" si="52" ref="BS33:BS39">BR33+BP33</f>
        <v>1507328845</v>
      </c>
      <c r="BT33" s="1">
        <f aca="true" t="shared" si="53" ref="BT33:BT39">RANK(BS33,BS$32:BS$43,0)</f>
        <v>3</v>
      </c>
    </row>
    <row r="34" spans="1:72" ht="16.5">
      <c r="A34" s="79">
        <f t="shared" si="25"/>
        <v>26</v>
      </c>
      <c r="B34" s="79" t="s">
        <v>18</v>
      </c>
      <c r="C34" s="79">
        <v>2</v>
      </c>
      <c r="D34" s="80">
        <v>0.5486111111111112</v>
      </c>
      <c r="E34" s="79" t="str">
        <f>Saisondaten!B20</f>
        <v>WSF Liblar</v>
      </c>
      <c r="F34" s="79" t="s">
        <v>28</v>
      </c>
      <c r="G34" s="79" t="str">
        <f>Saisondaten!B21</f>
        <v>KSVH Berlin</v>
      </c>
      <c r="H34" s="81">
        <v>4</v>
      </c>
      <c r="I34" s="79" t="s">
        <v>28</v>
      </c>
      <c r="J34" s="81">
        <v>2</v>
      </c>
      <c r="K34" s="122" t="str">
        <f>IF(VLOOKUP(A34,Schiedsrichter!$A$3:$I$58,8,FALSE)=0,"-",VLOOKUP(A34,Schiedsrichter!$A$3:$I$58,8,FALSE))</f>
        <v>KP Münster</v>
      </c>
      <c r="L34" s="112" t="s">
        <v>122</v>
      </c>
      <c r="M34" s="125" t="str">
        <f>IF(VLOOKUP(A34,Schiedsrichter!$A$3:$I$58,9,FALSE)=0,"-",VLOOKUP(A34,Schiedsrichter!$A$3:$I$58,9,FALSE))</f>
        <v>1. MKC Duisburg</v>
      </c>
      <c r="O34" s="1">
        <f t="shared" si="17"/>
        <v>1</v>
      </c>
      <c r="P34" s="1" t="str">
        <f t="shared" si="18"/>
        <v>WSF Liblar</v>
      </c>
      <c r="Q34" s="1">
        <f t="shared" si="0"/>
        <v>1</v>
      </c>
      <c r="R34" s="1">
        <f t="shared" si="1"/>
        <v>0</v>
      </c>
      <c r="S34" s="1">
        <f t="shared" si="2"/>
        <v>0</v>
      </c>
      <c r="T34" s="1">
        <f t="shared" si="3"/>
        <v>4</v>
      </c>
      <c r="U34" s="1">
        <f t="shared" si="4"/>
        <v>2</v>
      </c>
      <c r="V34" s="1" t="str">
        <f t="shared" si="14"/>
        <v>KSVH Berlin</v>
      </c>
      <c r="W34" s="1">
        <f t="shared" si="5"/>
        <v>0</v>
      </c>
      <c r="X34" s="1">
        <f t="shared" si="6"/>
        <v>0</v>
      </c>
      <c r="Y34" s="1">
        <f t="shared" si="7"/>
        <v>1</v>
      </c>
      <c r="Z34" s="1">
        <f t="shared" si="8"/>
        <v>2</v>
      </c>
      <c r="AA34" s="1">
        <f t="shared" si="9"/>
        <v>4</v>
      </c>
      <c r="AC34" s="1">
        <f t="shared" si="27"/>
        <v>2</v>
      </c>
      <c r="AD34" s="77" t="str">
        <f t="shared" si="28"/>
        <v>PSC Coburg</v>
      </c>
      <c r="AF34" s="77">
        <f t="shared" si="26"/>
        <v>5</v>
      </c>
      <c r="AG34" s="77">
        <f t="shared" si="26"/>
        <v>1</v>
      </c>
      <c r="AH34" s="77">
        <f t="shared" si="26"/>
        <v>1</v>
      </c>
      <c r="AI34" s="77">
        <f t="shared" si="26"/>
        <v>37</v>
      </c>
      <c r="AJ34" s="77">
        <f t="shared" si="26"/>
        <v>22</v>
      </c>
      <c r="AK34" s="77">
        <f t="shared" si="29"/>
        <v>16</v>
      </c>
      <c r="AL34" s="1">
        <f t="shared" si="30"/>
        <v>1613621053</v>
      </c>
      <c r="AM34" s="1">
        <f t="shared" si="31"/>
        <v>2</v>
      </c>
      <c r="AN34" s="1">
        <f>IF(COUNTIF(AM$32:AM34,AM34)&gt;1,1,0)</f>
        <v>0</v>
      </c>
      <c r="AO34" s="1">
        <f t="shared" si="32"/>
        <v>1613621053</v>
      </c>
      <c r="AP34" s="1">
        <f t="shared" si="33"/>
        <v>2</v>
      </c>
      <c r="AQ34" s="1">
        <f>IF(COUNTIF(AP$32:AP34,AP34)&gt;1,1,0)</f>
        <v>0</v>
      </c>
      <c r="AR34" s="1">
        <f t="shared" si="34"/>
        <v>1613621053</v>
      </c>
      <c r="AS34" s="1">
        <f t="shared" si="35"/>
        <v>2</v>
      </c>
      <c r="AT34" s="1">
        <f>IF(COUNTIF(AS$32:AS34,AS34)&gt;1,1,0)</f>
        <v>0</v>
      </c>
      <c r="AU34" s="1">
        <f t="shared" si="36"/>
        <v>1613621053</v>
      </c>
      <c r="AV34" s="1">
        <f t="shared" si="37"/>
        <v>2</v>
      </c>
      <c r="AW34" s="1">
        <f>IF(COUNTIF(AV$32:AV34,AV34)&gt;1,1,0)</f>
        <v>0</v>
      </c>
      <c r="AX34" s="1">
        <f t="shared" si="38"/>
        <v>1613621053</v>
      </c>
      <c r="AY34" s="1">
        <f t="shared" si="39"/>
        <v>2</v>
      </c>
      <c r="AZ34" s="1">
        <f>IF(COUNTIF(AY$32:AY34,AY34)&gt;1,1,0)</f>
        <v>0</v>
      </c>
      <c r="BA34" s="1">
        <f t="shared" si="40"/>
        <v>1613621053</v>
      </c>
      <c r="BB34" s="1">
        <f t="shared" si="41"/>
        <v>2</v>
      </c>
      <c r="BC34" s="1">
        <f>IF(COUNTIF(BB$32:BB34,BB34)&gt;1,1,0)</f>
        <v>0</v>
      </c>
      <c r="BD34" s="1">
        <f t="shared" si="42"/>
        <v>1613621053</v>
      </c>
      <c r="BE34" s="1">
        <f t="shared" si="43"/>
        <v>2</v>
      </c>
      <c r="BF34" s="1">
        <f>IF(COUNTIF(BE$32:BE34,BE34)&gt;1,1,0)</f>
        <v>0</v>
      </c>
      <c r="BG34" s="1">
        <f t="shared" si="44"/>
        <v>1613621053</v>
      </c>
      <c r="BH34" s="1">
        <f t="shared" si="45"/>
        <v>2</v>
      </c>
      <c r="BI34" s="1">
        <f>IF(COUNTIF(BH$32:BH34,BH34)&gt;1,1,0)</f>
        <v>0</v>
      </c>
      <c r="BJ34" s="1">
        <f t="shared" si="46"/>
        <v>1613621053</v>
      </c>
      <c r="BK34" s="1">
        <f t="shared" si="47"/>
        <v>2</v>
      </c>
      <c r="BL34" s="1">
        <f>IF(COUNTIF(BK$32:BK34,BK34)&gt;1,1,0)</f>
        <v>0</v>
      </c>
      <c r="BM34" s="1">
        <f t="shared" si="48"/>
        <v>1613621053</v>
      </c>
      <c r="BN34" s="1">
        <f t="shared" si="49"/>
        <v>2</v>
      </c>
      <c r="BO34" s="1">
        <f>IF(COUNTIF(BN$32:BN34,BN34)&gt;1,1,0)</f>
        <v>0</v>
      </c>
      <c r="BP34" s="1">
        <f t="shared" si="50"/>
        <v>1613621053</v>
      </c>
      <c r="BQ34" s="1">
        <f t="shared" si="51"/>
        <v>2</v>
      </c>
      <c r="BR34" s="1">
        <f>IF(COUNTIF(BQ$32:BQ34,BQ34)&gt;1,1,0)</f>
        <v>0</v>
      </c>
      <c r="BS34" s="1">
        <f t="shared" si="52"/>
        <v>1613621053</v>
      </c>
      <c r="BT34" s="1">
        <f t="shared" si="53"/>
        <v>2</v>
      </c>
    </row>
    <row r="35" spans="1:72" ht="16.5">
      <c r="A35" s="66">
        <f t="shared" si="25"/>
        <v>27</v>
      </c>
      <c r="B35" s="66" t="s">
        <v>18</v>
      </c>
      <c r="C35" s="66">
        <v>2</v>
      </c>
      <c r="D35" s="67">
        <v>0.576388888888889</v>
      </c>
      <c r="E35" s="66" t="str">
        <f>Saisondaten!B18</f>
        <v>PSC Coburg</v>
      </c>
      <c r="F35" s="66" t="s">
        <v>28</v>
      </c>
      <c r="G35" s="66" t="str">
        <f>Saisondaten!B19</f>
        <v>KCNW Berlin</v>
      </c>
      <c r="H35" s="68">
        <v>1</v>
      </c>
      <c r="I35" s="66" t="s">
        <v>28</v>
      </c>
      <c r="J35" s="68">
        <v>2</v>
      </c>
      <c r="K35" s="127" t="str">
        <f>IF(VLOOKUP(A35,Schiedsrichter!$A$3:$I$58,8,FALSE)=0,"-",VLOOKUP(A35,Schiedsrichter!$A$3:$I$58,8,FALSE))</f>
        <v>KSVH Berlin</v>
      </c>
      <c r="L35" s="115" t="s">
        <v>122</v>
      </c>
      <c r="M35" s="130" t="str">
        <f>IF(VLOOKUP(A35,Schiedsrichter!$A$3:$I$58,9,FALSE)=0,"-",VLOOKUP(A35,Schiedsrichter!$A$3:$I$58,9,FALSE))</f>
        <v>WSF Liblar</v>
      </c>
      <c r="O35" s="1">
        <f t="shared" si="17"/>
        <v>1</v>
      </c>
      <c r="P35" s="1" t="str">
        <f t="shared" si="18"/>
        <v>PSC Coburg</v>
      </c>
      <c r="Q35" s="1">
        <f t="shared" si="0"/>
        <v>0</v>
      </c>
      <c r="R35" s="1">
        <f t="shared" si="1"/>
        <v>0</v>
      </c>
      <c r="S35" s="1">
        <f t="shared" si="2"/>
        <v>1</v>
      </c>
      <c r="T35" s="1">
        <f t="shared" si="3"/>
        <v>1</v>
      </c>
      <c r="U35" s="1">
        <f t="shared" si="4"/>
        <v>2</v>
      </c>
      <c r="V35" s="1" t="str">
        <f t="shared" si="14"/>
        <v>KCNW Berlin</v>
      </c>
      <c r="W35" s="1">
        <f t="shared" si="5"/>
        <v>1</v>
      </c>
      <c r="X35" s="1">
        <f t="shared" si="6"/>
        <v>0</v>
      </c>
      <c r="Y35" s="1">
        <f t="shared" si="7"/>
        <v>0</v>
      </c>
      <c r="Z35" s="1">
        <f t="shared" si="8"/>
        <v>2</v>
      </c>
      <c r="AA35" s="1">
        <f t="shared" si="9"/>
        <v>1</v>
      </c>
      <c r="AC35" s="1">
        <f t="shared" si="27"/>
        <v>4</v>
      </c>
      <c r="AD35" s="77" t="str">
        <f t="shared" si="28"/>
        <v>KCNW Berlin</v>
      </c>
      <c r="AF35" s="77">
        <f t="shared" si="26"/>
        <v>4</v>
      </c>
      <c r="AG35" s="77">
        <f t="shared" si="26"/>
        <v>2</v>
      </c>
      <c r="AH35" s="77">
        <f t="shared" si="26"/>
        <v>1</v>
      </c>
      <c r="AI35" s="77">
        <f t="shared" si="26"/>
        <v>24</v>
      </c>
      <c r="AJ35" s="77">
        <f t="shared" si="26"/>
        <v>13</v>
      </c>
      <c r="AK35" s="77">
        <f t="shared" si="29"/>
        <v>14</v>
      </c>
      <c r="AL35" s="1">
        <f t="shared" si="30"/>
        <v>1409964402</v>
      </c>
      <c r="AM35" s="1">
        <f t="shared" si="31"/>
        <v>4</v>
      </c>
      <c r="AN35" s="1">
        <f>IF(COUNTIF(AM$32:AM35,AM35)&gt;1,1,0)</f>
        <v>0</v>
      </c>
      <c r="AO35" s="1">
        <f t="shared" si="32"/>
        <v>1409964402</v>
      </c>
      <c r="AP35" s="1">
        <f t="shared" si="33"/>
        <v>4</v>
      </c>
      <c r="AQ35" s="1">
        <f>IF(COUNTIF(AP$32:AP35,AP35)&gt;1,1,0)</f>
        <v>0</v>
      </c>
      <c r="AR35" s="1">
        <f t="shared" si="34"/>
        <v>1409964402</v>
      </c>
      <c r="AS35" s="1">
        <f t="shared" si="35"/>
        <v>4</v>
      </c>
      <c r="AT35" s="1">
        <f>IF(COUNTIF(AS$32:AS35,AS35)&gt;1,1,0)</f>
        <v>0</v>
      </c>
      <c r="AU35" s="1">
        <f t="shared" si="36"/>
        <v>1409964402</v>
      </c>
      <c r="AV35" s="1">
        <f t="shared" si="37"/>
        <v>4</v>
      </c>
      <c r="AW35" s="1">
        <f>IF(COUNTIF(AV$32:AV35,AV35)&gt;1,1,0)</f>
        <v>0</v>
      </c>
      <c r="AX35" s="1">
        <f t="shared" si="38"/>
        <v>1409964402</v>
      </c>
      <c r="AY35" s="1">
        <f t="shared" si="39"/>
        <v>4</v>
      </c>
      <c r="AZ35" s="1">
        <f>IF(COUNTIF(AY$32:AY35,AY35)&gt;1,1,0)</f>
        <v>0</v>
      </c>
      <c r="BA35" s="1">
        <f t="shared" si="40"/>
        <v>1409964402</v>
      </c>
      <c r="BB35" s="1">
        <f t="shared" si="41"/>
        <v>4</v>
      </c>
      <c r="BC35" s="1">
        <f>IF(COUNTIF(BB$32:BB35,BB35)&gt;1,1,0)</f>
        <v>0</v>
      </c>
      <c r="BD35" s="1">
        <f t="shared" si="42"/>
        <v>1409964402</v>
      </c>
      <c r="BE35" s="1">
        <f t="shared" si="43"/>
        <v>4</v>
      </c>
      <c r="BF35" s="1">
        <f>IF(COUNTIF(BE$32:BE35,BE35)&gt;1,1,0)</f>
        <v>0</v>
      </c>
      <c r="BG35" s="1">
        <f t="shared" si="44"/>
        <v>1409964402</v>
      </c>
      <c r="BH35" s="1">
        <f t="shared" si="45"/>
        <v>4</v>
      </c>
      <c r="BI35" s="1">
        <f>IF(COUNTIF(BH$32:BH35,BH35)&gt;1,1,0)</f>
        <v>0</v>
      </c>
      <c r="BJ35" s="1">
        <f t="shared" si="46"/>
        <v>1409964402</v>
      </c>
      <c r="BK35" s="1">
        <f t="shared" si="47"/>
        <v>4</v>
      </c>
      <c r="BL35" s="1">
        <f>IF(COUNTIF(BK$32:BK35,BK35)&gt;1,1,0)</f>
        <v>0</v>
      </c>
      <c r="BM35" s="1">
        <f t="shared" si="48"/>
        <v>1409964402</v>
      </c>
      <c r="BN35" s="1">
        <f t="shared" si="49"/>
        <v>4</v>
      </c>
      <c r="BO35" s="1">
        <f>IF(COUNTIF(BN$32:BN35,BN35)&gt;1,1,0)</f>
        <v>0</v>
      </c>
      <c r="BP35" s="1">
        <f t="shared" si="50"/>
        <v>1409964402</v>
      </c>
      <c r="BQ35" s="1">
        <f t="shared" si="51"/>
        <v>4</v>
      </c>
      <c r="BR35" s="1">
        <f>IF(COUNTIF(BQ$32:BQ35,BQ35)&gt;1,1,0)</f>
        <v>0</v>
      </c>
      <c r="BS35" s="1">
        <f t="shared" si="52"/>
        <v>1409964402</v>
      </c>
      <c r="BT35" s="1">
        <f t="shared" si="53"/>
        <v>4</v>
      </c>
    </row>
    <row r="36" spans="1:72" ht="16.5">
      <c r="A36" s="85">
        <f t="shared" si="25"/>
        <v>28</v>
      </c>
      <c r="B36" s="85" t="s">
        <v>18</v>
      </c>
      <c r="C36" s="85">
        <v>2</v>
      </c>
      <c r="D36" s="86">
        <v>0.6006944444444445</v>
      </c>
      <c r="E36" s="85" t="str">
        <f>Saisondaten!B16</f>
        <v>ACC Hamburg</v>
      </c>
      <c r="F36" s="85" t="s">
        <v>28</v>
      </c>
      <c r="G36" s="85" t="str">
        <f>Saisondaten!B17</f>
        <v>KRM Essen</v>
      </c>
      <c r="H36" s="87">
        <v>7</v>
      </c>
      <c r="I36" s="85" t="s">
        <v>28</v>
      </c>
      <c r="J36" s="87">
        <v>2</v>
      </c>
      <c r="K36" s="128" t="str">
        <f>IF(VLOOKUP(A36,Schiedsrichter!$A$3:$I$58,8,FALSE)=0,"-",VLOOKUP(A36,Schiedsrichter!$A$3:$I$58,8,FALSE))</f>
        <v>PSC Coburg</v>
      </c>
      <c r="L36" s="116" t="s">
        <v>122</v>
      </c>
      <c r="M36" s="131" t="str">
        <f>IF(VLOOKUP(A36,Schiedsrichter!$A$3:$I$58,9,FALSE)=0,"-",VLOOKUP(A36,Schiedsrichter!$A$3:$I$58,9,FALSE))</f>
        <v>KCNW Berlin</v>
      </c>
      <c r="O36" s="1">
        <f t="shared" si="17"/>
        <v>1</v>
      </c>
      <c r="P36" s="1" t="str">
        <f t="shared" si="18"/>
        <v>ACC Hamburg</v>
      </c>
      <c r="Q36" s="1">
        <f t="shared" si="0"/>
        <v>1</v>
      </c>
      <c r="R36" s="1">
        <f t="shared" si="1"/>
        <v>0</v>
      </c>
      <c r="S36" s="1">
        <f t="shared" si="2"/>
        <v>0</v>
      </c>
      <c r="T36" s="1">
        <f t="shared" si="3"/>
        <v>7</v>
      </c>
      <c r="U36" s="1">
        <f t="shared" si="4"/>
        <v>2</v>
      </c>
      <c r="V36" s="1" t="str">
        <f t="shared" si="14"/>
        <v>KRM Essen</v>
      </c>
      <c r="W36" s="1">
        <f t="shared" si="5"/>
        <v>0</v>
      </c>
      <c r="X36" s="1">
        <f t="shared" si="6"/>
        <v>0</v>
      </c>
      <c r="Y36" s="1">
        <f t="shared" si="7"/>
        <v>1</v>
      </c>
      <c r="Z36" s="1">
        <f t="shared" si="8"/>
        <v>2</v>
      </c>
      <c r="AA36" s="1">
        <f t="shared" si="9"/>
        <v>7</v>
      </c>
      <c r="AC36" s="1">
        <f t="shared" si="27"/>
        <v>6</v>
      </c>
      <c r="AD36" s="77" t="str">
        <f t="shared" si="28"/>
        <v>WSF Liblar</v>
      </c>
      <c r="AF36" s="77">
        <f t="shared" si="26"/>
        <v>2</v>
      </c>
      <c r="AG36" s="77">
        <f t="shared" si="26"/>
        <v>2</v>
      </c>
      <c r="AH36" s="77">
        <f t="shared" si="26"/>
        <v>3</v>
      </c>
      <c r="AI36" s="77">
        <f t="shared" si="26"/>
        <v>15</v>
      </c>
      <c r="AJ36" s="77">
        <f t="shared" si="26"/>
        <v>26</v>
      </c>
      <c r="AK36" s="77">
        <f t="shared" si="29"/>
        <v>8</v>
      </c>
      <c r="AL36" s="1">
        <f t="shared" si="30"/>
        <v>790338879</v>
      </c>
      <c r="AM36" s="1">
        <f t="shared" si="31"/>
        <v>6</v>
      </c>
      <c r="AN36" s="1">
        <f>IF(COUNTIF(AM$32:AM36,AM36)&gt;1,1,0)</f>
        <v>0</v>
      </c>
      <c r="AO36" s="1">
        <f t="shared" si="32"/>
        <v>790338879</v>
      </c>
      <c r="AP36" s="1">
        <f t="shared" si="33"/>
        <v>6</v>
      </c>
      <c r="AQ36" s="1">
        <f>IF(COUNTIF(AP$32:AP36,AP36)&gt;1,1,0)</f>
        <v>0</v>
      </c>
      <c r="AR36" s="1">
        <f t="shared" si="34"/>
        <v>790338879</v>
      </c>
      <c r="AS36" s="1">
        <f t="shared" si="35"/>
        <v>6</v>
      </c>
      <c r="AT36" s="1">
        <f>IF(COUNTIF(AS$32:AS36,AS36)&gt;1,1,0)</f>
        <v>0</v>
      </c>
      <c r="AU36" s="1">
        <f t="shared" si="36"/>
        <v>790338879</v>
      </c>
      <c r="AV36" s="1">
        <f t="shared" si="37"/>
        <v>6</v>
      </c>
      <c r="AW36" s="1">
        <f>IF(COUNTIF(AV$32:AV36,AV36)&gt;1,1,0)</f>
        <v>0</v>
      </c>
      <c r="AX36" s="1">
        <f t="shared" si="38"/>
        <v>790338879</v>
      </c>
      <c r="AY36" s="1">
        <f t="shared" si="39"/>
        <v>6</v>
      </c>
      <c r="AZ36" s="1">
        <f>IF(COUNTIF(AY$32:AY36,AY36)&gt;1,1,0)</f>
        <v>0</v>
      </c>
      <c r="BA36" s="1">
        <f t="shared" si="40"/>
        <v>790338879</v>
      </c>
      <c r="BB36" s="1">
        <f t="shared" si="41"/>
        <v>6</v>
      </c>
      <c r="BC36" s="1">
        <f>IF(COUNTIF(BB$32:BB36,BB36)&gt;1,1,0)</f>
        <v>0</v>
      </c>
      <c r="BD36" s="1">
        <f t="shared" si="42"/>
        <v>790338879</v>
      </c>
      <c r="BE36" s="1">
        <f t="shared" si="43"/>
        <v>6</v>
      </c>
      <c r="BF36" s="1">
        <f>IF(COUNTIF(BE$32:BE36,BE36)&gt;1,1,0)</f>
        <v>0</v>
      </c>
      <c r="BG36" s="1">
        <f t="shared" si="44"/>
        <v>790338879</v>
      </c>
      <c r="BH36" s="1">
        <f t="shared" si="45"/>
        <v>6</v>
      </c>
      <c r="BI36" s="1">
        <f>IF(COUNTIF(BH$32:BH36,BH36)&gt;1,1,0)</f>
        <v>0</v>
      </c>
      <c r="BJ36" s="1">
        <f t="shared" si="46"/>
        <v>790338879</v>
      </c>
      <c r="BK36" s="1">
        <f t="shared" si="47"/>
        <v>6</v>
      </c>
      <c r="BL36" s="1">
        <f>IF(COUNTIF(BK$32:BK36,BK36)&gt;1,1,0)</f>
        <v>0</v>
      </c>
      <c r="BM36" s="1">
        <f t="shared" si="48"/>
        <v>790338879</v>
      </c>
      <c r="BN36" s="1">
        <f t="shared" si="49"/>
        <v>6</v>
      </c>
      <c r="BO36" s="1">
        <f>IF(COUNTIF(BN$32:BN36,BN36)&gt;1,1,0)</f>
        <v>0</v>
      </c>
      <c r="BP36" s="1">
        <f t="shared" si="50"/>
        <v>790338879</v>
      </c>
      <c r="BQ36" s="1">
        <f t="shared" si="51"/>
        <v>6</v>
      </c>
      <c r="BR36" s="1">
        <f>IF(COUNTIF(BQ$32:BQ36,BQ36)&gt;1,1,0)</f>
        <v>0</v>
      </c>
      <c r="BS36" s="1">
        <f t="shared" si="52"/>
        <v>790338879</v>
      </c>
      <c r="BT36" s="1">
        <f t="shared" si="53"/>
        <v>6</v>
      </c>
    </row>
    <row r="37" spans="4:72" ht="16.5">
      <c r="D37" s="2"/>
      <c r="L37" s="3"/>
      <c r="M37" s="8"/>
      <c r="W37" s="1">
        <f t="shared" si="5"/>
      </c>
      <c r="X37" s="1">
        <f t="shared" si="6"/>
      </c>
      <c r="Y37" s="1">
        <f t="shared" si="7"/>
      </c>
      <c r="Z37" s="1">
        <f t="shared" si="8"/>
      </c>
      <c r="AA37" s="1">
        <f t="shared" si="9"/>
      </c>
      <c r="AC37" s="1">
        <f t="shared" si="27"/>
        <v>7</v>
      </c>
      <c r="AD37" s="77" t="str">
        <f t="shared" si="28"/>
        <v>KSVH Berlin</v>
      </c>
      <c r="AF37" s="77">
        <f t="shared" si="26"/>
        <v>1</v>
      </c>
      <c r="AG37" s="77">
        <f t="shared" si="26"/>
        <v>0</v>
      </c>
      <c r="AH37" s="77">
        <f t="shared" si="26"/>
        <v>6</v>
      </c>
      <c r="AI37" s="77">
        <f t="shared" si="26"/>
        <v>14</v>
      </c>
      <c r="AJ37" s="77">
        <f t="shared" si="26"/>
        <v>28</v>
      </c>
      <c r="AK37" s="77">
        <f t="shared" si="29"/>
        <v>3</v>
      </c>
      <c r="AL37" s="1">
        <f t="shared" si="30"/>
        <v>287664443</v>
      </c>
      <c r="AM37" s="1">
        <f t="shared" si="31"/>
        <v>7</v>
      </c>
      <c r="AN37" s="1">
        <f>IF(COUNTIF(AM$32:AM37,AM37)&gt;1,1,0)</f>
        <v>0</v>
      </c>
      <c r="AO37" s="1">
        <f t="shared" si="32"/>
        <v>287664443</v>
      </c>
      <c r="AP37" s="1">
        <f t="shared" si="33"/>
        <v>7</v>
      </c>
      <c r="AQ37" s="1">
        <f>IF(COUNTIF(AP$32:AP37,AP37)&gt;1,1,0)</f>
        <v>0</v>
      </c>
      <c r="AR37" s="1">
        <f t="shared" si="34"/>
        <v>287664443</v>
      </c>
      <c r="AS37" s="1">
        <f t="shared" si="35"/>
        <v>7</v>
      </c>
      <c r="AT37" s="1">
        <f>IF(COUNTIF(AS$32:AS37,AS37)&gt;1,1,0)</f>
        <v>0</v>
      </c>
      <c r="AU37" s="1">
        <f t="shared" si="36"/>
        <v>287664443</v>
      </c>
      <c r="AV37" s="1">
        <f t="shared" si="37"/>
        <v>7</v>
      </c>
      <c r="AW37" s="1">
        <f>IF(COUNTIF(AV$32:AV37,AV37)&gt;1,1,0)</f>
        <v>0</v>
      </c>
      <c r="AX37" s="1">
        <f t="shared" si="38"/>
        <v>287664443</v>
      </c>
      <c r="AY37" s="1">
        <f t="shared" si="39"/>
        <v>7</v>
      </c>
      <c r="AZ37" s="1">
        <f>IF(COUNTIF(AY$32:AY37,AY37)&gt;1,1,0)</f>
        <v>0</v>
      </c>
      <c r="BA37" s="1">
        <f t="shared" si="40"/>
        <v>287664443</v>
      </c>
      <c r="BB37" s="1">
        <f t="shared" si="41"/>
        <v>7</v>
      </c>
      <c r="BC37" s="1">
        <f>IF(COUNTIF(BB$32:BB37,BB37)&gt;1,1,0)</f>
        <v>0</v>
      </c>
      <c r="BD37" s="1">
        <f t="shared" si="42"/>
        <v>287664443</v>
      </c>
      <c r="BE37" s="1">
        <f t="shared" si="43"/>
        <v>7</v>
      </c>
      <c r="BF37" s="1">
        <f>IF(COUNTIF(BE$32:BE37,BE37)&gt;1,1,0)</f>
        <v>0</v>
      </c>
      <c r="BG37" s="1">
        <f t="shared" si="44"/>
        <v>287664443</v>
      </c>
      <c r="BH37" s="1">
        <f t="shared" si="45"/>
        <v>7</v>
      </c>
      <c r="BI37" s="1">
        <f>IF(COUNTIF(BH$32:BH37,BH37)&gt;1,1,0)</f>
        <v>0</v>
      </c>
      <c r="BJ37" s="1">
        <f t="shared" si="46"/>
        <v>287664443</v>
      </c>
      <c r="BK37" s="1">
        <f t="shared" si="47"/>
        <v>7</v>
      </c>
      <c r="BL37" s="1">
        <f>IF(COUNTIF(BK$32:BK37,BK37)&gt;1,1,0)</f>
        <v>0</v>
      </c>
      <c r="BM37" s="1">
        <f t="shared" si="48"/>
        <v>287664443</v>
      </c>
      <c r="BN37" s="1">
        <f t="shared" si="49"/>
        <v>7</v>
      </c>
      <c r="BO37" s="1">
        <f>IF(COUNTIF(BN$32:BN37,BN37)&gt;1,1,0)</f>
        <v>0</v>
      </c>
      <c r="BP37" s="1">
        <f t="shared" si="50"/>
        <v>287664443</v>
      </c>
      <c r="BQ37" s="1">
        <f t="shared" si="51"/>
        <v>7</v>
      </c>
      <c r="BR37" s="1">
        <f>IF(COUNTIF(BQ$32:BQ37,BQ37)&gt;1,1,0)</f>
        <v>0</v>
      </c>
      <c r="BS37" s="1">
        <f t="shared" si="52"/>
        <v>287664443</v>
      </c>
      <c r="BT37" s="1">
        <f t="shared" si="53"/>
        <v>7</v>
      </c>
    </row>
    <row r="38" spans="1:72" ht="7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AC38" s="1">
        <f t="shared" si="27"/>
        <v>5</v>
      </c>
      <c r="AD38" s="77" t="str">
        <f t="shared" si="28"/>
        <v>1. MKC Duisburg</v>
      </c>
      <c r="AF38" s="77">
        <f t="shared" si="26"/>
        <v>2</v>
      </c>
      <c r="AG38" s="77">
        <f t="shared" si="26"/>
        <v>2</v>
      </c>
      <c r="AH38" s="77">
        <f t="shared" si="26"/>
        <v>3</v>
      </c>
      <c r="AI38" s="77">
        <f t="shared" si="26"/>
        <v>20</v>
      </c>
      <c r="AJ38" s="77">
        <f t="shared" si="26"/>
        <v>26</v>
      </c>
      <c r="AK38" s="77">
        <f t="shared" si="29"/>
        <v>8</v>
      </c>
      <c r="AL38" s="1">
        <f t="shared" si="30"/>
        <v>794822204</v>
      </c>
      <c r="AM38" s="1">
        <f t="shared" si="31"/>
        <v>5</v>
      </c>
      <c r="AN38" s="1">
        <f>IF(COUNTIF(AM$32:AM38,AM38)&gt;1,1,0)</f>
        <v>0</v>
      </c>
      <c r="AO38" s="1">
        <f t="shared" si="32"/>
        <v>794822204</v>
      </c>
      <c r="AP38" s="1">
        <f t="shared" si="33"/>
        <v>5</v>
      </c>
      <c r="AQ38" s="1">
        <f>IF(COUNTIF(AP$32:AP38,AP38)&gt;1,1,0)</f>
        <v>0</v>
      </c>
      <c r="AR38" s="1">
        <f t="shared" si="34"/>
        <v>794822204</v>
      </c>
      <c r="AS38" s="1">
        <f t="shared" si="35"/>
        <v>5</v>
      </c>
      <c r="AT38" s="1">
        <f>IF(COUNTIF(AS$32:AS38,AS38)&gt;1,1,0)</f>
        <v>0</v>
      </c>
      <c r="AU38" s="1">
        <f t="shared" si="36"/>
        <v>794822204</v>
      </c>
      <c r="AV38" s="1">
        <f t="shared" si="37"/>
        <v>5</v>
      </c>
      <c r="AW38" s="1">
        <f>IF(COUNTIF(AV$32:AV38,AV38)&gt;1,1,0)</f>
        <v>0</v>
      </c>
      <c r="AX38" s="1">
        <f t="shared" si="38"/>
        <v>794822204</v>
      </c>
      <c r="AY38" s="1">
        <f t="shared" si="39"/>
        <v>5</v>
      </c>
      <c r="AZ38" s="1">
        <f>IF(COUNTIF(AY$32:AY38,AY38)&gt;1,1,0)</f>
        <v>0</v>
      </c>
      <c r="BA38" s="1">
        <f t="shared" si="40"/>
        <v>794822204</v>
      </c>
      <c r="BB38" s="1">
        <f t="shared" si="41"/>
        <v>5</v>
      </c>
      <c r="BC38" s="1">
        <f>IF(COUNTIF(BB$32:BB38,BB38)&gt;1,1,0)</f>
        <v>0</v>
      </c>
      <c r="BD38" s="1">
        <f t="shared" si="42"/>
        <v>794822204</v>
      </c>
      <c r="BE38" s="1">
        <f t="shared" si="43"/>
        <v>5</v>
      </c>
      <c r="BF38" s="1">
        <f>IF(COUNTIF(BE$32:BE38,BE38)&gt;1,1,0)</f>
        <v>0</v>
      </c>
      <c r="BG38" s="1">
        <f t="shared" si="44"/>
        <v>794822204</v>
      </c>
      <c r="BH38" s="1">
        <f t="shared" si="45"/>
        <v>5</v>
      </c>
      <c r="BI38" s="1">
        <f>IF(COUNTIF(BH$32:BH38,BH38)&gt;1,1,0)</f>
        <v>0</v>
      </c>
      <c r="BJ38" s="1">
        <f t="shared" si="46"/>
        <v>794822204</v>
      </c>
      <c r="BK38" s="1">
        <f t="shared" si="47"/>
        <v>5</v>
      </c>
      <c r="BL38" s="1">
        <f>IF(COUNTIF(BK$32:BK38,BK38)&gt;1,1,0)</f>
        <v>0</v>
      </c>
      <c r="BM38" s="1">
        <f t="shared" si="48"/>
        <v>794822204</v>
      </c>
      <c r="BN38" s="1">
        <f t="shared" si="49"/>
        <v>5</v>
      </c>
      <c r="BO38" s="1">
        <f>IF(COUNTIF(BN$32:BN38,BN38)&gt;1,1,0)</f>
        <v>0</v>
      </c>
      <c r="BP38" s="1">
        <f t="shared" si="50"/>
        <v>794822204</v>
      </c>
      <c r="BQ38" s="1">
        <f t="shared" si="51"/>
        <v>5</v>
      </c>
      <c r="BR38" s="1">
        <f>IF(COUNTIF(BQ$32:BQ38,BQ38)&gt;1,1,0)</f>
        <v>0</v>
      </c>
      <c r="BS38" s="1">
        <f t="shared" si="52"/>
        <v>794822204</v>
      </c>
      <c r="BT38" s="1">
        <f t="shared" si="53"/>
        <v>5</v>
      </c>
    </row>
    <row r="39" spans="12:72" ht="16.5">
      <c r="L39" s="3"/>
      <c r="AC39" s="1">
        <f t="shared" si="27"/>
        <v>8</v>
      </c>
      <c r="AD39" s="77" t="str">
        <f t="shared" si="28"/>
        <v>KP Münster</v>
      </c>
      <c r="AF39" s="77">
        <f t="shared" si="26"/>
        <v>0</v>
      </c>
      <c r="AG39" s="77">
        <f t="shared" si="26"/>
        <v>0</v>
      </c>
      <c r="AH39" s="77">
        <f t="shared" si="26"/>
        <v>7</v>
      </c>
      <c r="AI39" s="77">
        <f t="shared" si="26"/>
        <v>11</v>
      </c>
      <c r="AJ39" s="77">
        <f t="shared" si="26"/>
        <v>44</v>
      </c>
      <c r="AK39" s="77">
        <f t="shared" si="29"/>
        <v>0</v>
      </c>
      <c r="AL39" s="1">
        <f t="shared" si="30"/>
        <v>-29247757</v>
      </c>
      <c r="AM39" s="1">
        <f t="shared" si="31"/>
        <v>8</v>
      </c>
      <c r="AN39" s="1">
        <f>IF(COUNTIF(AM$32:AM39,AM39)&gt;1,1,0)</f>
        <v>0</v>
      </c>
      <c r="AO39" s="1">
        <f t="shared" si="32"/>
        <v>-29247757</v>
      </c>
      <c r="AP39" s="1">
        <f t="shared" si="33"/>
        <v>8</v>
      </c>
      <c r="AQ39" s="1">
        <f>IF(COUNTIF(AP$32:AP39,AP39)&gt;1,1,0)</f>
        <v>0</v>
      </c>
      <c r="AR39" s="1">
        <f t="shared" si="34"/>
        <v>-29247757</v>
      </c>
      <c r="AS39" s="1">
        <f t="shared" si="35"/>
        <v>8</v>
      </c>
      <c r="AT39" s="1">
        <f>IF(COUNTIF(AS$32:AS39,AS39)&gt;1,1,0)</f>
        <v>0</v>
      </c>
      <c r="AU39" s="1">
        <f t="shared" si="36"/>
        <v>-29247757</v>
      </c>
      <c r="AV39" s="1">
        <f t="shared" si="37"/>
        <v>8</v>
      </c>
      <c r="AW39" s="1">
        <f>IF(COUNTIF(AV$32:AV39,AV39)&gt;1,1,0)</f>
        <v>0</v>
      </c>
      <c r="AX39" s="1">
        <f t="shared" si="38"/>
        <v>-29247757</v>
      </c>
      <c r="AY39" s="1">
        <f t="shared" si="39"/>
        <v>8</v>
      </c>
      <c r="AZ39" s="1">
        <f>IF(COUNTIF(AY$32:AY39,AY39)&gt;1,1,0)</f>
        <v>0</v>
      </c>
      <c r="BA39" s="1">
        <f t="shared" si="40"/>
        <v>-29247757</v>
      </c>
      <c r="BB39" s="1">
        <f t="shared" si="41"/>
        <v>8</v>
      </c>
      <c r="BC39" s="1">
        <f>IF(COUNTIF(BB$32:BB39,BB39)&gt;1,1,0)</f>
        <v>0</v>
      </c>
      <c r="BD39" s="1">
        <f t="shared" si="42"/>
        <v>-29247757</v>
      </c>
      <c r="BE39" s="1">
        <f t="shared" si="43"/>
        <v>8</v>
      </c>
      <c r="BF39" s="1">
        <f>IF(COUNTIF(BE$32:BE39,BE39)&gt;1,1,0)</f>
        <v>0</v>
      </c>
      <c r="BG39" s="1">
        <f t="shared" si="44"/>
        <v>-29247757</v>
      </c>
      <c r="BH39" s="1">
        <f t="shared" si="45"/>
        <v>8</v>
      </c>
      <c r="BI39" s="1">
        <f>IF(COUNTIF(BH$32:BH39,BH39)&gt;1,1,0)</f>
        <v>0</v>
      </c>
      <c r="BJ39" s="1">
        <f t="shared" si="46"/>
        <v>-29247757</v>
      </c>
      <c r="BK39" s="1">
        <f t="shared" si="47"/>
        <v>8</v>
      </c>
      <c r="BL39" s="1">
        <f>IF(COUNTIF(BK$32:BK39,BK39)&gt;1,1,0)</f>
        <v>0</v>
      </c>
      <c r="BM39" s="1">
        <f t="shared" si="48"/>
        <v>-29247757</v>
      </c>
      <c r="BN39" s="1">
        <f t="shared" si="49"/>
        <v>8</v>
      </c>
      <c r="BO39" s="1">
        <f>IF(COUNTIF(BN$32:BN39,BN39)&gt;1,1,0)</f>
        <v>0</v>
      </c>
      <c r="BP39" s="1">
        <f t="shared" si="50"/>
        <v>-29247757</v>
      </c>
      <c r="BQ39" s="1">
        <f t="shared" si="51"/>
        <v>8</v>
      </c>
      <c r="BR39" s="1">
        <f>IF(COUNTIF(BQ$32:BQ39,BQ39)&gt;1,1,0)</f>
        <v>0</v>
      </c>
      <c r="BS39" s="1">
        <f t="shared" si="52"/>
        <v>-29247757</v>
      </c>
      <c r="BT39" s="1">
        <f t="shared" si="53"/>
        <v>8</v>
      </c>
    </row>
  </sheetData>
  <sheetProtection sheet="1" selectLockedCells="1"/>
  <mergeCells count="8">
    <mergeCell ref="AL31:AO31"/>
    <mergeCell ref="A24:M24"/>
    <mergeCell ref="A1:M1"/>
    <mergeCell ref="A3:M3"/>
    <mergeCell ref="A5:M5"/>
    <mergeCell ref="E6:G6"/>
    <mergeCell ref="H6:J6"/>
    <mergeCell ref="K6:M6"/>
  </mergeCells>
  <printOptions horizontalCentered="1"/>
  <pageMargins left="0.2362204724409449" right="0.2362204724409449" top="0.35433070866141736" bottom="0.7480314960629921" header="0.31496062992125984" footer="0.31496062992125984"/>
  <pageSetup horizontalDpi="600" verticalDpi="600" orientation="portrait" paperSize="9" r:id="rId3"/>
  <headerFooter>
    <oddFooter>&amp;L&amp;"Century Gothic,Standard"&amp;12bundesliga.kanupolo.de&amp;C&amp;G&amp;R&amp;"Century Gothic,Standard"&amp;12Stand:  &amp;D, &amp;T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BU40"/>
  <sheetViews>
    <sheetView showGridLines="0" showRowColHeaders="0" tabSelected="1" zoomScalePageLayoutView="0" workbookViewId="0" topLeftCell="A1">
      <selection activeCell="K28" sqref="K28"/>
    </sheetView>
  </sheetViews>
  <sheetFormatPr defaultColWidth="11.421875" defaultRowHeight="15"/>
  <cols>
    <col min="1" max="1" width="5.7109375" style="1" bestFit="1" customWidth="1"/>
    <col min="2" max="2" width="1.7109375" style="1" bestFit="1" customWidth="1"/>
    <col min="3" max="3" width="5.28125" style="1" bestFit="1" customWidth="1"/>
    <col min="4" max="4" width="6.140625" style="1" bestFit="1" customWidth="1"/>
    <col min="5" max="5" width="21.7109375" style="1" customWidth="1"/>
    <col min="6" max="6" width="1.57421875" style="1" bestFit="1" customWidth="1"/>
    <col min="7" max="7" width="21.7109375" style="1" customWidth="1"/>
    <col min="8" max="8" width="4.421875" style="1" customWidth="1"/>
    <col min="9" max="9" width="1.57421875" style="1" bestFit="1" customWidth="1"/>
    <col min="10" max="10" width="4.421875" style="1" customWidth="1"/>
    <col min="11" max="11" width="10.7109375" style="1" customWidth="1"/>
    <col min="12" max="12" width="0.9921875" style="1" customWidth="1"/>
    <col min="13" max="13" width="10.7109375" style="1" customWidth="1"/>
    <col min="14" max="14" width="11.421875" style="1" customWidth="1"/>
    <col min="15" max="15" width="7.140625" style="1" hidden="1" customWidth="1"/>
    <col min="16" max="16" width="16.28125" style="1" hidden="1" customWidth="1"/>
    <col min="17" max="17" width="2.140625" style="1" hidden="1" customWidth="1"/>
    <col min="18" max="19" width="2.57421875" style="1" hidden="1" customWidth="1"/>
    <col min="20" max="21" width="3.28125" style="1" hidden="1" customWidth="1"/>
    <col min="22" max="22" width="18.140625" style="1" hidden="1" customWidth="1"/>
    <col min="23" max="23" width="2.140625" style="1" hidden="1" customWidth="1"/>
    <col min="24" max="25" width="2.57421875" style="1" hidden="1" customWidth="1"/>
    <col min="26" max="27" width="3.28125" style="1" hidden="1" customWidth="1"/>
    <col min="28" max="28" width="11.421875" style="1" hidden="1" customWidth="1"/>
    <col min="29" max="29" width="6.421875" style="1" hidden="1" customWidth="1"/>
    <col min="30" max="30" width="18.140625" style="1" hidden="1" customWidth="1"/>
    <col min="31" max="31" width="9.140625" style="1" hidden="1" customWidth="1"/>
    <col min="32" max="33" width="2.57421875" style="1" hidden="1" customWidth="1"/>
    <col min="34" max="37" width="3.28125" style="1" hidden="1" customWidth="1"/>
    <col min="38" max="38" width="12.421875" style="1" hidden="1" customWidth="1"/>
    <col min="39" max="39" width="3.28125" style="1" hidden="1" customWidth="1"/>
    <col min="40" max="40" width="2.140625" style="1" hidden="1" customWidth="1"/>
    <col min="41" max="41" width="12.421875" style="1" hidden="1" customWidth="1"/>
    <col min="42" max="42" width="3.28125" style="1" hidden="1" customWidth="1"/>
    <col min="43" max="43" width="2.140625" style="1" hidden="1" customWidth="1"/>
    <col min="44" max="44" width="12.421875" style="1" hidden="1" customWidth="1"/>
    <col min="45" max="45" width="3.28125" style="1" hidden="1" customWidth="1"/>
    <col min="46" max="46" width="2.140625" style="1" hidden="1" customWidth="1"/>
    <col min="47" max="47" width="12.421875" style="1" hidden="1" customWidth="1"/>
    <col min="48" max="48" width="3.28125" style="1" hidden="1" customWidth="1"/>
    <col min="49" max="49" width="2.140625" style="1" hidden="1" customWidth="1"/>
    <col min="50" max="50" width="12.421875" style="1" hidden="1" customWidth="1"/>
    <col min="51" max="51" width="3.28125" style="1" hidden="1" customWidth="1"/>
    <col min="52" max="52" width="2.140625" style="1" hidden="1" customWidth="1"/>
    <col min="53" max="53" width="12.421875" style="1" hidden="1" customWidth="1"/>
    <col min="54" max="54" width="3.28125" style="1" hidden="1" customWidth="1"/>
    <col min="55" max="55" width="2.140625" style="1" hidden="1" customWidth="1"/>
    <col min="56" max="56" width="12.421875" style="1" hidden="1" customWidth="1"/>
    <col min="57" max="57" width="3.28125" style="1" hidden="1" customWidth="1"/>
    <col min="58" max="58" width="2.140625" style="1" hidden="1" customWidth="1"/>
    <col min="59" max="59" width="12.421875" style="1" hidden="1" customWidth="1"/>
    <col min="60" max="60" width="3.28125" style="1" hidden="1" customWidth="1"/>
    <col min="61" max="61" width="2.140625" style="1" hidden="1" customWidth="1"/>
    <col min="62" max="62" width="12.421875" style="1" hidden="1" customWidth="1"/>
    <col min="63" max="63" width="3.28125" style="1" hidden="1" customWidth="1"/>
    <col min="64" max="64" width="2.140625" style="1" hidden="1" customWidth="1"/>
    <col min="65" max="65" width="12.421875" style="1" hidden="1" customWidth="1"/>
    <col min="66" max="66" width="3.28125" style="1" hidden="1" customWidth="1"/>
    <col min="67" max="67" width="2.140625" style="1" hidden="1" customWidth="1"/>
    <col min="68" max="68" width="12.421875" style="1" hidden="1" customWidth="1"/>
    <col min="69" max="69" width="3.28125" style="1" hidden="1" customWidth="1"/>
    <col min="70" max="70" width="2.140625" style="1" hidden="1" customWidth="1"/>
    <col min="71" max="71" width="12.421875" style="1" hidden="1" customWidth="1"/>
    <col min="72" max="72" width="3.28125" style="1" hidden="1" customWidth="1"/>
    <col min="73" max="73" width="11.421875" style="1" hidden="1" customWidth="1"/>
    <col min="74" max="75" width="11.421875" style="1" customWidth="1"/>
    <col min="76" max="16384" width="11.421875" style="1" customWidth="1"/>
  </cols>
  <sheetData>
    <row r="1" spans="1:13" ht="38.25" customHeight="1">
      <c r="A1" s="232" t="str">
        <f>"1. Bundesliga Damen "&amp;Saisondaten!$B$3&amp;""</f>
        <v>1. Bundesliga Damen 2019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16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8">
      <c r="A3" s="233" t="str">
        <f>"Rückrunde Damen"&amp;" in "&amp;Saisondaten!$D$9</f>
        <v>Rückrunde Damen in Coburg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1:13" ht="7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7.25">
      <c r="A5" s="234" t="str">
        <f>TEXT(Saisondaten!$B$9,"[$-F800]TTTT, MMMM TT, JJJJ")</f>
        <v>Samstag, 13. Juli 2019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</row>
    <row r="6" spans="1:73" ht="16.5">
      <c r="A6" s="17" t="s">
        <v>23</v>
      </c>
      <c r="B6" s="17"/>
      <c r="C6" s="17" t="s">
        <v>24</v>
      </c>
      <c r="D6" s="17" t="s">
        <v>25</v>
      </c>
      <c r="E6" s="235" t="s">
        <v>5</v>
      </c>
      <c r="F6" s="235"/>
      <c r="G6" s="235"/>
      <c r="H6" s="235" t="s">
        <v>26</v>
      </c>
      <c r="I6" s="235"/>
      <c r="J6" s="235"/>
      <c r="K6" s="235" t="s">
        <v>17</v>
      </c>
      <c r="L6" s="235"/>
      <c r="M6" s="235"/>
      <c r="O6" s="77" t="s">
        <v>50</v>
      </c>
      <c r="P6" s="77" t="s">
        <v>48</v>
      </c>
      <c r="Q6" s="77" t="s">
        <v>39</v>
      </c>
      <c r="R6" s="77" t="s">
        <v>32</v>
      </c>
      <c r="S6" s="77" t="s">
        <v>38</v>
      </c>
      <c r="T6" s="77" t="s">
        <v>35</v>
      </c>
      <c r="U6" s="77" t="s">
        <v>16</v>
      </c>
      <c r="V6" s="77" t="s">
        <v>49</v>
      </c>
      <c r="W6" s="77" t="s">
        <v>39</v>
      </c>
      <c r="X6" s="77" t="s">
        <v>32</v>
      </c>
      <c r="Y6" s="77" t="s">
        <v>38</v>
      </c>
      <c r="Z6" s="77" t="s">
        <v>35</v>
      </c>
      <c r="AA6" s="77" t="s">
        <v>16</v>
      </c>
      <c r="AB6" s="77"/>
      <c r="AC6" s="77"/>
      <c r="AD6" s="30" t="s">
        <v>30</v>
      </c>
      <c r="AE6" s="77" t="s">
        <v>39</v>
      </c>
      <c r="AF6" s="77" t="s">
        <v>32</v>
      </c>
      <c r="AG6" s="77" t="s">
        <v>38</v>
      </c>
      <c r="AH6" s="77" t="s">
        <v>35</v>
      </c>
      <c r="AI6" s="77" t="s">
        <v>16</v>
      </c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</row>
    <row r="7" spans="1:73" ht="16.5">
      <c r="A7" s="9">
        <f>Hinrunde!A36+1</f>
        <v>29</v>
      </c>
      <c r="B7" s="9" t="s">
        <v>18</v>
      </c>
      <c r="C7" s="9">
        <v>1</v>
      </c>
      <c r="D7" s="10">
        <v>0.3541666666666667</v>
      </c>
      <c r="E7" s="9" t="str">
        <f>Saisondaten!B28</f>
        <v>ACC Hamburg</v>
      </c>
      <c r="F7" s="9" t="s">
        <v>28</v>
      </c>
      <c r="G7" s="9" t="str">
        <f>Saisondaten!B35</f>
        <v>KP Münster</v>
      </c>
      <c r="H7" s="11"/>
      <c r="I7" s="9" t="s">
        <v>28</v>
      </c>
      <c r="J7" s="11"/>
      <c r="K7" s="120" t="str">
        <f>IF(VLOOKUP(A7,Schiedsrichter!$A$3:$I$58,8,FALSE)=0,"-",VLOOKUP(A7,Schiedsrichter!$A$3:$I$58,8,FALSE))</f>
        <v>PSC Coburg</v>
      </c>
      <c r="L7" s="113" t="s">
        <v>122</v>
      </c>
      <c r="M7" s="123" t="str">
        <f>IF(VLOOKUP(A7,Schiedsrichter!$A$3:$I$58,9,FALSE)=0,"-",VLOOKUP(A7,Schiedsrichter!$A$3:$I$58,9,FALSE))</f>
        <v>KSVH Berlin</v>
      </c>
      <c r="O7" s="77" t="str">
        <f>IF(OR(H7="",J7=""),"na",1)</f>
        <v>na</v>
      </c>
      <c r="P7" s="77" t="str">
        <f>E7</f>
        <v>ACC Hamburg</v>
      </c>
      <c r="Q7" s="77">
        <f aca="true" t="shared" si="0" ref="Q7:Q36">IF($O7=1,IF($H7&gt;$J7,1,0),"")</f>
      </c>
      <c r="R7" s="77">
        <f aca="true" t="shared" si="1" ref="R7:R36">IF($O7=1,IF($H7=$J7,1,0),"")</f>
      </c>
      <c r="S7" s="77">
        <f aca="true" t="shared" si="2" ref="S7:S36">IF($O7=1,IF($H7&lt;$J7,1,0),"")</f>
      </c>
      <c r="T7" s="77">
        <f aca="true" t="shared" si="3" ref="T7:T36">IF($O7=1,$H7,"")</f>
      </c>
      <c r="U7" s="77">
        <f aca="true" t="shared" si="4" ref="U7:U36">IF($O7=1,$J7,"")</f>
      </c>
      <c r="V7" s="77" t="str">
        <f>G7</f>
        <v>KP Münster</v>
      </c>
      <c r="W7" s="77">
        <f aca="true" t="shared" si="5" ref="W7:W37">IF($O7=1,IF($H7&lt;$J7,1,0),"")</f>
      </c>
      <c r="X7" s="77">
        <f aca="true" t="shared" si="6" ref="X7:X37">IF($O7=1,IF($H7=$J7,1,0),"")</f>
      </c>
      <c r="Y7" s="77">
        <f aca="true" t="shared" si="7" ref="Y7:Y37">IF($O7=1,IF($H7&gt;$J7,1,0),"")</f>
      </c>
      <c r="Z7" s="77">
        <f aca="true" t="shared" si="8" ref="Z7:Z37">IF($O7=1,$J7,"")</f>
      </c>
      <c r="AA7" s="77">
        <f aca="true" t="shared" si="9" ref="AA7:AA37">IF($O7=1,$H7,"")</f>
      </c>
      <c r="AB7" s="77"/>
      <c r="AC7" s="77"/>
      <c r="AD7" s="77" t="str">
        <f>Saisondaten!B16</f>
        <v>ACC Hamburg</v>
      </c>
      <c r="AE7" s="77">
        <f>SUMIF($P$7:$P$37,$AD7,Q$7:Q$37)</f>
        <v>0</v>
      </c>
      <c r="AF7" s="77">
        <f aca="true" t="shared" si="10" ref="AF7:AI14">SUMIF($P$7:$P$37,$AD7,R$7:R$37)</f>
        <v>0</v>
      </c>
      <c r="AG7" s="77">
        <f t="shared" si="10"/>
        <v>0</v>
      </c>
      <c r="AH7" s="77">
        <f t="shared" si="10"/>
        <v>0</v>
      </c>
      <c r="AI7" s="77">
        <f t="shared" si="10"/>
        <v>0</v>
      </c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</row>
    <row r="8" spans="1:73" ht="16.5">
      <c r="A8" s="79">
        <f>A7+1</f>
        <v>30</v>
      </c>
      <c r="B8" s="79" t="s">
        <v>18</v>
      </c>
      <c r="C8" s="79">
        <v>1</v>
      </c>
      <c r="D8" s="80">
        <v>0.3819444444444444</v>
      </c>
      <c r="E8" s="79" t="str">
        <f>Saisondaten!B30</f>
        <v>KRM Essen</v>
      </c>
      <c r="F8" s="79" t="s">
        <v>28</v>
      </c>
      <c r="G8" s="79" t="str">
        <f>Saisondaten!B33</f>
        <v>WSF Liblar</v>
      </c>
      <c r="H8" s="81"/>
      <c r="I8" s="79" t="s">
        <v>28</v>
      </c>
      <c r="J8" s="81"/>
      <c r="K8" s="122" t="str">
        <f>IF(VLOOKUP(A8,Schiedsrichter!$A$3:$I$58,8,FALSE)=0,"-",VLOOKUP(A8,Schiedsrichter!$A$3:$I$58,8,FALSE))</f>
        <v>KCNW Berlin</v>
      </c>
      <c r="L8" s="112" t="s">
        <v>122</v>
      </c>
      <c r="M8" s="125" t="str">
        <f>IF(VLOOKUP(A8,Schiedsrichter!$A$3:$I$58,9,FALSE)=0,"-",VLOOKUP(A8,Schiedsrichter!$A$3:$I$58,9,FALSE))</f>
        <v>1. MKC Duisburg</v>
      </c>
      <c r="O8" s="77" t="str">
        <f aca="true" t="shared" si="11" ref="O8:O36">IF(OR(H8="",J8=""),"na",1)</f>
        <v>na</v>
      </c>
      <c r="P8" s="77" t="str">
        <f>E8</f>
        <v>KRM Essen</v>
      </c>
      <c r="Q8" s="77">
        <f t="shared" si="0"/>
      </c>
      <c r="R8" s="77">
        <f t="shared" si="1"/>
      </c>
      <c r="S8" s="77">
        <f t="shared" si="2"/>
      </c>
      <c r="T8" s="77">
        <f t="shared" si="3"/>
      </c>
      <c r="U8" s="77">
        <f t="shared" si="4"/>
      </c>
      <c r="V8" s="77" t="str">
        <f aca="true" t="shared" si="12" ref="V8:V36">G8</f>
        <v>WSF Liblar</v>
      </c>
      <c r="W8" s="77">
        <f t="shared" si="5"/>
      </c>
      <c r="X8" s="77">
        <f t="shared" si="6"/>
      </c>
      <c r="Y8" s="77">
        <f t="shared" si="7"/>
      </c>
      <c r="Z8" s="77">
        <f t="shared" si="8"/>
      </c>
      <c r="AA8" s="77">
        <f t="shared" si="9"/>
      </c>
      <c r="AB8" s="77"/>
      <c r="AC8" s="77"/>
      <c r="AD8" s="77" t="str">
        <f>Saisondaten!B17</f>
        <v>KRM Essen</v>
      </c>
      <c r="AE8" s="77">
        <f aca="true" t="shared" si="13" ref="AE8:AE14">SUMIF($P$7:$P$37,$AD8,Q$7:Q$37)</f>
        <v>0</v>
      </c>
      <c r="AF8" s="77">
        <f t="shared" si="10"/>
        <v>0</v>
      </c>
      <c r="AG8" s="77">
        <f t="shared" si="10"/>
        <v>0</v>
      </c>
      <c r="AH8" s="77">
        <f t="shared" si="10"/>
        <v>0</v>
      </c>
      <c r="AI8" s="77">
        <f t="shared" si="10"/>
        <v>0</v>
      </c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</row>
    <row r="9" spans="1:73" ht="16.5">
      <c r="A9" s="12">
        <f aca="true" t="shared" si="14" ref="A9:A22">A8+1</f>
        <v>31</v>
      </c>
      <c r="B9" s="12" t="s">
        <v>18</v>
      </c>
      <c r="C9" s="12">
        <v>1</v>
      </c>
      <c r="D9" s="13">
        <v>0.409722222222222</v>
      </c>
      <c r="E9" s="12" t="str">
        <f>Saisondaten!B29</f>
        <v>PSC Coburg</v>
      </c>
      <c r="F9" s="12" t="s">
        <v>28</v>
      </c>
      <c r="G9" s="12" t="str">
        <f>Saisondaten!B34</f>
        <v>KSVH Berlin</v>
      </c>
      <c r="H9" s="14"/>
      <c r="I9" s="12" t="s">
        <v>28</v>
      </c>
      <c r="J9" s="14"/>
      <c r="K9" s="121" t="str">
        <f>IF(VLOOKUP(A9,Schiedsrichter!$A$3:$I$58,8,FALSE)=0,"-",VLOOKUP(A9,Schiedsrichter!$A$3:$I$58,8,FALSE))</f>
        <v>ACC Hamburg</v>
      </c>
      <c r="L9" s="111" t="s">
        <v>122</v>
      </c>
      <c r="M9" s="124" t="str">
        <f>IF(VLOOKUP(A9,Schiedsrichter!$A$3:$I$58,9,FALSE)=0,"-",VLOOKUP(A9,Schiedsrichter!$A$3:$I$58,9,FALSE))</f>
        <v>KP Münster</v>
      </c>
      <c r="O9" s="77" t="str">
        <f t="shared" si="11"/>
        <v>na</v>
      </c>
      <c r="P9" s="77" t="str">
        <f aca="true" t="shared" si="15" ref="P9:P36">E9</f>
        <v>PSC Coburg</v>
      </c>
      <c r="Q9" s="77">
        <f t="shared" si="0"/>
      </c>
      <c r="R9" s="77">
        <f t="shared" si="1"/>
      </c>
      <c r="S9" s="77">
        <f t="shared" si="2"/>
      </c>
      <c r="T9" s="77">
        <f t="shared" si="3"/>
      </c>
      <c r="U9" s="77">
        <f t="shared" si="4"/>
      </c>
      <c r="V9" s="77" t="str">
        <f t="shared" si="12"/>
        <v>KSVH Berlin</v>
      </c>
      <c r="W9" s="77">
        <f t="shared" si="5"/>
      </c>
      <c r="X9" s="77">
        <f t="shared" si="6"/>
      </c>
      <c r="Y9" s="77">
        <f t="shared" si="7"/>
      </c>
      <c r="Z9" s="77">
        <f t="shared" si="8"/>
      </c>
      <c r="AA9" s="77">
        <f t="shared" si="9"/>
      </c>
      <c r="AB9" s="77"/>
      <c r="AC9" s="77"/>
      <c r="AD9" s="77" t="str">
        <f>Saisondaten!B18</f>
        <v>PSC Coburg</v>
      </c>
      <c r="AE9" s="77">
        <f t="shared" si="13"/>
        <v>0</v>
      </c>
      <c r="AF9" s="77">
        <f t="shared" si="10"/>
        <v>0</v>
      </c>
      <c r="AG9" s="77">
        <f t="shared" si="10"/>
        <v>0</v>
      </c>
      <c r="AH9" s="77">
        <f t="shared" si="10"/>
        <v>0</v>
      </c>
      <c r="AI9" s="77">
        <f t="shared" si="10"/>
        <v>0</v>
      </c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</row>
    <row r="10" spans="1:73" ht="16.5">
      <c r="A10" s="79">
        <f t="shared" si="14"/>
        <v>32</v>
      </c>
      <c r="B10" s="79" t="s">
        <v>18</v>
      </c>
      <c r="C10" s="79">
        <v>1</v>
      </c>
      <c r="D10" s="80">
        <v>0.4375</v>
      </c>
      <c r="E10" s="79" t="str">
        <f>Saisondaten!B31</f>
        <v>KCNW Berlin</v>
      </c>
      <c r="F10" s="79" t="s">
        <v>28</v>
      </c>
      <c r="G10" s="79" t="str">
        <f>Saisondaten!B32</f>
        <v>1. MKC Duisburg</v>
      </c>
      <c r="H10" s="81"/>
      <c r="I10" s="79" t="s">
        <v>28</v>
      </c>
      <c r="J10" s="81"/>
      <c r="K10" s="122" t="str">
        <f>IF(VLOOKUP(A10,Schiedsrichter!$A$3:$I$58,8,FALSE)=0,"-",VLOOKUP(A10,Schiedsrichter!$A$3:$I$58,8,FALSE))</f>
        <v>KRM Essen</v>
      </c>
      <c r="L10" s="112" t="s">
        <v>122</v>
      </c>
      <c r="M10" s="125" t="str">
        <f>IF(VLOOKUP(A10,Schiedsrichter!$A$3:$I$58,9,FALSE)=0,"-",VLOOKUP(A10,Schiedsrichter!$A$3:$I$58,9,FALSE))</f>
        <v>WSF Liblar</v>
      </c>
      <c r="O10" s="77" t="str">
        <f t="shared" si="11"/>
        <v>na</v>
      </c>
      <c r="P10" s="77" t="str">
        <f t="shared" si="15"/>
        <v>KCNW Berlin</v>
      </c>
      <c r="Q10" s="77">
        <f t="shared" si="0"/>
      </c>
      <c r="R10" s="77">
        <f t="shared" si="1"/>
      </c>
      <c r="S10" s="77">
        <f t="shared" si="2"/>
      </c>
      <c r="T10" s="77">
        <f t="shared" si="3"/>
      </c>
      <c r="U10" s="77">
        <f t="shared" si="4"/>
      </c>
      <c r="V10" s="77" t="str">
        <f t="shared" si="12"/>
        <v>1. MKC Duisburg</v>
      </c>
      <c r="W10" s="77">
        <f t="shared" si="5"/>
      </c>
      <c r="X10" s="77">
        <f t="shared" si="6"/>
      </c>
      <c r="Y10" s="77">
        <f t="shared" si="7"/>
      </c>
      <c r="Z10" s="77">
        <f t="shared" si="8"/>
      </c>
      <c r="AA10" s="77">
        <f t="shared" si="9"/>
      </c>
      <c r="AB10" s="77"/>
      <c r="AC10" s="77"/>
      <c r="AD10" s="77" t="str">
        <f>Saisondaten!B19</f>
        <v>KCNW Berlin</v>
      </c>
      <c r="AE10" s="77">
        <f t="shared" si="13"/>
        <v>0</v>
      </c>
      <c r="AF10" s="77">
        <f t="shared" si="10"/>
        <v>0</v>
      </c>
      <c r="AG10" s="77">
        <f t="shared" si="10"/>
        <v>0</v>
      </c>
      <c r="AH10" s="77">
        <f t="shared" si="10"/>
        <v>0</v>
      </c>
      <c r="AI10" s="77">
        <f t="shared" si="10"/>
        <v>0</v>
      </c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</row>
    <row r="11" spans="1:73" ht="16.5">
      <c r="A11" s="12">
        <f t="shared" si="14"/>
        <v>33</v>
      </c>
      <c r="B11" s="12" t="s">
        <v>18</v>
      </c>
      <c r="C11" s="12">
        <v>1</v>
      </c>
      <c r="D11" s="13">
        <v>0.465277777777778</v>
      </c>
      <c r="E11" s="12" t="str">
        <f>Saisondaten!B30</f>
        <v>KRM Essen</v>
      </c>
      <c r="F11" s="12" t="s">
        <v>28</v>
      </c>
      <c r="G11" s="12" t="str">
        <f>Saisondaten!B35</f>
        <v>KP Münster</v>
      </c>
      <c r="H11" s="14"/>
      <c r="I11" s="12" t="s">
        <v>28</v>
      </c>
      <c r="J11" s="14"/>
      <c r="K11" s="121" t="str">
        <f>IF(VLOOKUP(A11,Schiedsrichter!$A$3:$I$58,8,FALSE)=0,"-",VLOOKUP(A11,Schiedsrichter!$A$3:$I$58,8,FALSE))</f>
        <v>ACC Hamburg</v>
      </c>
      <c r="L11" s="111" t="s">
        <v>122</v>
      </c>
      <c r="M11" s="124" t="str">
        <f>IF(VLOOKUP(A11,Schiedsrichter!$A$3:$I$58,9,FALSE)=0,"-",VLOOKUP(A11,Schiedsrichter!$A$3:$I$58,9,FALSE))</f>
        <v>KCNW Berlin</v>
      </c>
      <c r="O11" s="77" t="str">
        <f t="shared" si="11"/>
        <v>na</v>
      </c>
      <c r="P11" s="77" t="str">
        <f t="shared" si="15"/>
        <v>KRM Essen</v>
      </c>
      <c r="Q11" s="77">
        <f t="shared" si="0"/>
      </c>
      <c r="R11" s="77">
        <f t="shared" si="1"/>
      </c>
      <c r="S11" s="77">
        <f t="shared" si="2"/>
      </c>
      <c r="T11" s="77">
        <f t="shared" si="3"/>
      </c>
      <c r="U11" s="77">
        <f t="shared" si="4"/>
      </c>
      <c r="V11" s="77" t="str">
        <f t="shared" si="12"/>
        <v>KP Münster</v>
      </c>
      <c r="W11" s="77">
        <f t="shared" si="5"/>
      </c>
      <c r="X11" s="77">
        <f t="shared" si="6"/>
      </c>
      <c r="Y11" s="77">
        <f t="shared" si="7"/>
      </c>
      <c r="Z11" s="77">
        <f t="shared" si="8"/>
      </c>
      <c r="AA11" s="77">
        <f t="shared" si="9"/>
      </c>
      <c r="AB11" s="77"/>
      <c r="AC11" s="77"/>
      <c r="AD11" s="77" t="str">
        <f>Saisondaten!B20</f>
        <v>WSF Liblar</v>
      </c>
      <c r="AE11" s="77">
        <f t="shared" si="13"/>
        <v>0</v>
      </c>
      <c r="AF11" s="77">
        <f t="shared" si="10"/>
        <v>0</v>
      </c>
      <c r="AG11" s="77">
        <f t="shared" si="10"/>
        <v>0</v>
      </c>
      <c r="AH11" s="77">
        <f t="shared" si="10"/>
        <v>0</v>
      </c>
      <c r="AI11" s="77">
        <f t="shared" si="10"/>
        <v>0</v>
      </c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</row>
    <row r="12" spans="1:73" ht="16.5">
      <c r="A12" s="79">
        <f t="shared" si="14"/>
        <v>34</v>
      </c>
      <c r="B12" s="79" t="s">
        <v>18</v>
      </c>
      <c r="C12" s="79">
        <v>1</v>
      </c>
      <c r="D12" s="80">
        <v>0.493055555555556</v>
      </c>
      <c r="E12" s="79" t="str">
        <f>Saisondaten!B33</f>
        <v>WSF Liblar</v>
      </c>
      <c r="F12" s="79" t="s">
        <v>28</v>
      </c>
      <c r="G12" s="79" t="str">
        <f>Saisondaten!B34</f>
        <v>KSVH Berlin</v>
      </c>
      <c r="H12" s="81"/>
      <c r="I12" s="79" t="s">
        <v>28</v>
      </c>
      <c r="J12" s="81"/>
      <c r="K12" s="122" t="str">
        <f>IF(VLOOKUP(A12,Schiedsrichter!$A$3:$I$58,8,FALSE)=0,"-",VLOOKUP(A12,Schiedsrichter!$A$3:$I$58,8,FALSE))</f>
        <v>1. MKC Duisburg</v>
      </c>
      <c r="L12" s="112" t="s">
        <v>122</v>
      </c>
      <c r="M12" s="125" t="str">
        <f>IF(VLOOKUP(A12,Schiedsrichter!$A$3:$I$58,9,FALSE)=0,"-",VLOOKUP(A12,Schiedsrichter!$A$3:$I$58,9,FALSE))</f>
        <v>PSC Coburg</v>
      </c>
      <c r="O12" s="77" t="str">
        <f t="shared" si="11"/>
        <v>na</v>
      </c>
      <c r="P12" s="77" t="str">
        <f t="shared" si="15"/>
        <v>WSF Liblar</v>
      </c>
      <c r="Q12" s="77">
        <f t="shared" si="0"/>
      </c>
      <c r="R12" s="77">
        <f t="shared" si="1"/>
      </c>
      <c r="S12" s="77">
        <f t="shared" si="2"/>
      </c>
      <c r="T12" s="77">
        <f t="shared" si="3"/>
      </c>
      <c r="U12" s="77">
        <f t="shared" si="4"/>
      </c>
      <c r="V12" s="77" t="str">
        <f t="shared" si="12"/>
        <v>KSVH Berlin</v>
      </c>
      <c r="W12" s="77">
        <f t="shared" si="5"/>
      </c>
      <c r="X12" s="77">
        <f t="shared" si="6"/>
      </c>
      <c r="Y12" s="77">
        <f t="shared" si="7"/>
      </c>
      <c r="Z12" s="77">
        <f t="shared" si="8"/>
      </c>
      <c r="AA12" s="77">
        <f t="shared" si="9"/>
      </c>
      <c r="AB12" s="77"/>
      <c r="AC12" s="77"/>
      <c r="AD12" s="77" t="str">
        <f>Saisondaten!B21</f>
        <v>KSVH Berlin</v>
      </c>
      <c r="AE12" s="77">
        <f t="shared" si="13"/>
        <v>0</v>
      </c>
      <c r="AF12" s="77">
        <f t="shared" si="10"/>
        <v>0</v>
      </c>
      <c r="AG12" s="77">
        <f t="shared" si="10"/>
        <v>0</v>
      </c>
      <c r="AH12" s="77">
        <f t="shared" si="10"/>
        <v>0</v>
      </c>
      <c r="AI12" s="77">
        <f t="shared" si="10"/>
        <v>0</v>
      </c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</row>
    <row r="13" spans="1:73" ht="16.5">
      <c r="A13" s="12">
        <f t="shared" si="14"/>
        <v>35</v>
      </c>
      <c r="B13" s="12" t="s">
        <v>18</v>
      </c>
      <c r="C13" s="12">
        <v>1</v>
      </c>
      <c r="D13" s="13">
        <v>0.520833333333333</v>
      </c>
      <c r="E13" s="12" t="str">
        <f>Saisondaten!B28</f>
        <v>ACC Hamburg</v>
      </c>
      <c r="F13" s="12" t="s">
        <v>28</v>
      </c>
      <c r="G13" s="12" t="str">
        <f>Saisondaten!B31</f>
        <v>KCNW Berlin</v>
      </c>
      <c r="H13" s="14"/>
      <c r="I13" s="12" t="s">
        <v>28</v>
      </c>
      <c r="J13" s="14"/>
      <c r="K13" s="121" t="str">
        <f>IF(VLOOKUP(A13,Schiedsrichter!$A$3:$I$58,8,FALSE)=0,"-",VLOOKUP(A13,Schiedsrichter!$A$3:$I$58,8,FALSE))</f>
        <v>WSF Liblar</v>
      </c>
      <c r="L13" s="111" t="s">
        <v>122</v>
      </c>
      <c r="M13" s="124" t="str">
        <f>IF(VLOOKUP(A13,Schiedsrichter!$A$3:$I$58,9,FALSE)=0,"-",VLOOKUP(A13,Schiedsrichter!$A$3:$I$58,9,FALSE))</f>
        <v>KSVH Berlin</v>
      </c>
      <c r="O13" s="77" t="str">
        <f t="shared" si="11"/>
        <v>na</v>
      </c>
      <c r="P13" s="77" t="str">
        <f t="shared" si="15"/>
        <v>ACC Hamburg</v>
      </c>
      <c r="Q13" s="77">
        <f t="shared" si="0"/>
      </c>
      <c r="R13" s="77">
        <f t="shared" si="1"/>
      </c>
      <c r="S13" s="77">
        <f t="shared" si="2"/>
      </c>
      <c r="T13" s="77">
        <f t="shared" si="3"/>
      </c>
      <c r="U13" s="77">
        <f t="shared" si="4"/>
      </c>
      <c r="V13" s="77" t="str">
        <f t="shared" si="12"/>
        <v>KCNW Berlin</v>
      </c>
      <c r="W13" s="77">
        <f t="shared" si="5"/>
      </c>
      <c r="X13" s="77">
        <f t="shared" si="6"/>
      </c>
      <c r="Y13" s="77">
        <f t="shared" si="7"/>
      </c>
      <c r="Z13" s="77">
        <f t="shared" si="8"/>
      </c>
      <c r="AA13" s="77">
        <f t="shared" si="9"/>
      </c>
      <c r="AB13" s="77"/>
      <c r="AC13" s="77"/>
      <c r="AD13" s="77" t="str">
        <f>Saisondaten!B22</f>
        <v>1. MKC Duisburg</v>
      </c>
      <c r="AE13" s="77">
        <f t="shared" si="13"/>
        <v>0</v>
      </c>
      <c r="AF13" s="77">
        <f t="shared" si="10"/>
        <v>0</v>
      </c>
      <c r="AG13" s="77">
        <f t="shared" si="10"/>
        <v>0</v>
      </c>
      <c r="AH13" s="77">
        <f t="shared" si="10"/>
        <v>0</v>
      </c>
      <c r="AI13" s="77">
        <f t="shared" si="10"/>
        <v>0</v>
      </c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</row>
    <row r="14" spans="1:73" ht="16.5">
      <c r="A14" s="79">
        <f t="shared" si="14"/>
        <v>36</v>
      </c>
      <c r="B14" s="79" t="s">
        <v>18</v>
      </c>
      <c r="C14" s="79">
        <v>1</v>
      </c>
      <c r="D14" s="80">
        <v>0.548611111111111</v>
      </c>
      <c r="E14" s="79" t="str">
        <f>Saisondaten!B29</f>
        <v>PSC Coburg</v>
      </c>
      <c r="F14" s="79" t="s">
        <v>28</v>
      </c>
      <c r="G14" s="79" t="str">
        <f>Saisondaten!B32</f>
        <v>1. MKC Duisburg</v>
      </c>
      <c r="H14" s="81"/>
      <c r="I14" s="79" t="s">
        <v>28</v>
      </c>
      <c r="J14" s="81"/>
      <c r="K14" s="122" t="str">
        <f>IF(VLOOKUP(A14,Schiedsrichter!$A$3:$I$58,8,FALSE)=0,"-",VLOOKUP(A14,Schiedsrichter!$A$3:$I$58,8,FALSE))</f>
        <v>KP Münster</v>
      </c>
      <c r="L14" s="112" t="s">
        <v>122</v>
      </c>
      <c r="M14" s="125" t="str">
        <f>IF(VLOOKUP(A14,Schiedsrichter!$A$3:$I$58,9,FALSE)=0,"-",VLOOKUP(A14,Schiedsrichter!$A$3:$I$58,9,FALSE))</f>
        <v>KRM Essen</v>
      </c>
      <c r="O14" s="77" t="str">
        <f t="shared" si="11"/>
        <v>na</v>
      </c>
      <c r="P14" s="77" t="str">
        <f t="shared" si="15"/>
        <v>PSC Coburg</v>
      </c>
      <c r="Q14" s="77">
        <f t="shared" si="0"/>
      </c>
      <c r="R14" s="77">
        <f t="shared" si="1"/>
      </c>
      <c r="S14" s="77">
        <f t="shared" si="2"/>
      </c>
      <c r="T14" s="77">
        <f t="shared" si="3"/>
      </c>
      <c r="U14" s="77">
        <f t="shared" si="4"/>
      </c>
      <c r="V14" s="77" t="str">
        <f t="shared" si="12"/>
        <v>1. MKC Duisburg</v>
      </c>
      <c r="W14" s="77">
        <f t="shared" si="5"/>
      </c>
      <c r="X14" s="77">
        <f t="shared" si="6"/>
      </c>
      <c r="Y14" s="77">
        <f t="shared" si="7"/>
      </c>
      <c r="Z14" s="77">
        <f t="shared" si="8"/>
      </c>
      <c r="AA14" s="77">
        <f t="shared" si="9"/>
      </c>
      <c r="AB14" s="77"/>
      <c r="AC14" s="77"/>
      <c r="AD14" s="77" t="str">
        <f>Saisondaten!B23</f>
        <v>KP Münster</v>
      </c>
      <c r="AE14" s="77">
        <f t="shared" si="13"/>
        <v>0</v>
      </c>
      <c r="AF14" s="77">
        <f t="shared" si="10"/>
        <v>0</v>
      </c>
      <c r="AG14" s="77">
        <f t="shared" si="10"/>
        <v>0</v>
      </c>
      <c r="AH14" s="77">
        <f t="shared" si="10"/>
        <v>0</v>
      </c>
      <c r="AI14" s="77">
        <f t="shared" si="10"/>
        <v>0</v>
      </c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</row>
    <row r="15" spans="1:73" ht="16.5">
      <c r="A15" s="12">
        <f t="shared" si="14"/>
        <v>37</v>
      </c>
      <c r="B15" s="12" t="s">
        <v>18</v>
      </c>
      <c r="C15" s="12">
        <v>1</v>
      </c>
      <c r="D15" s="13">
        <v>0.576388888888889</v>
      </c>
      <c r="E15" s="12" t="str">
        <f>Saisondaten!B31</f>
        <v>KCNW Berlin</v>
      </c>
      <c r="F15" s="12" t="s">
        <v>28</v>
      </c>
      <c r="G15" s="12" t="str">
        <f>Saisondaten!B33</f>
        <v>WSF Liblar</v>
      </c>
      <c r="H15" s="14"/>
      <c r="I15" s="12" t="s">
        <v>28</v>
      </c>
      <c r="J15" s="14"/>
      <c r="K15" s="121" t="str">
        <f>IF(VLOOKUP(A15,Schiedsrichter!$A$3:$I$58,8,FALSE)=0,"-",VLOOKUP(A15,Schiedsrichter!$A$3:$I$58,8,FALSE))</f>
        <v>KSVH Berlin</v>
      </c>
      <c r="L15" s="111" t="s">
        <v>122</v>
      </c>
      <c r="M15" s="124" t="str">
        <f>IF(VLOOKUP(A15,Schiedsrichter!$A$3:$I$58,9,FALSE)=0,"-",VLOOKUP(A15,Schiedsrichter!$A$3:$I$58,9,FALSE))</f>
        <v>ACC Hamburg</v>
      </c>
      <c r="O15" s="77" t="str">
        <f t="shared" si="11"/>
        <v>na</v>
      </c>
      <c r="P15" s="77" t="str">
        <f t="shared" si="15"/>
        <v>KCNW Berlin</v>
      </c>
      <c r="Q15" s="77">
        <f t="shared" si="0"/>
      </c>
      <c r="R15" s="77">
        <f t="shared" si="1"/>
      </c>
      <c r="S15" s="77">
        <f t="shared" si="2"/>
      </c>
      <c r="T15" s="77">
        <f t="shared" si="3"/>
      </c>
      <c r="U15" s="77">
        <f t="shared" si="4"/>
      </c>
      <c r="V15" s="77" t="str">
        <f t="shared" si="12"/>
        <v>WSF Liblar</v>
      </c>
      <c r="W15" s="77">
        <f t="shared" si="5"/>
      </c>
      <c r="X15" s="77">
        <f t="shared" si="6"/>
      </c>
      <c r="Y15" s="77">
        <f t="shared" si="7"/>
      </c>
      <c r="Z15" s="77">
        <f t="shared" si="8"/>
      </c>
      <c r="AA15" s="77">
        <f t="shared" si="9"/>
      </c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</row>
    <row r="16" spans="1:73" ht="16.5">
      <c r="A16" s="79">
        <f t="shared" si="14"/>
        <v>38</v>
      </c>
      <c r="B16" s="79" t="s">
        <v>18</v>
      </c>
      <c r="C16" s="79">
        <v>1</v>
      </c>
      <c r="D16" s="80">
        <v>0.604166666666667</v>
      </c>
      <c r="E16" s="79" t="str">
        <f>Saisondaten!B29</f>
        <v>PSC Coburg</v>
      </c>
      <c r="F16" s="79" t="s">
        <v>28</v>
      </c>
      <c r="G16" s="79" t="str">
        <f>Saisondaten!B35</f>
        <v>KP Münster</v>
      </c>
      <c r="H16" s="81"/>
      <c r="I16" s="79" t="s">
        <v>28</v>
      </c>
      <c r="J16" s="81"/>
      <c r="K16" s="122" t="str">
        <f>IF(VLOOKUP(A16,Schiedsrichter!$A$3:$I$58,8,FALSE)=0,"-",VLOOKUP(A16,Schiedsrichter!$A$3:$I$58,8,FALSE))</f>
        <v>KRM Essen</v>
      </c>
      <c r="L16" s="112" t="s">
        <v>122</v>
      </c>
      <c r="M16" s="125" t="str">
        <f>IF(VLOOKUP(A16,Schiedsrichter!$A$3:$I$58,9,FALSE)=0,"-",VLOOKUP(A16,Schiedsrichter!$A$3:$I$58,9,FALSE))</f>
        <v>1. MKC Duisburg</v>
      </c>
      <c r="O16" s="77" t="str">
        <f t="shared" si="11"/>
        <v>na</v>
      </c>
      <c r="P16" s="77" t="str">
        <f t="shared" si="15"/>
        <v>PSC Coburg</v>
      </c>
      <c r="Q16" s="77">
        <f t="shared" si="0"/>
      </c>
      <c r="R16" s="77">
        <f t="shared" si="1"/>
      </c>
      <c r="S16" s="77">
        <f t="shared" si="2"/>
      </c>
      <c r="T16" s="77">
        <f t="shared" si="3"/>
      </c>
      <c r="U16" s="77">
        <f t="shared" si="4"/>
      </c>
      <c r="V16" s="77" t="str">
        <f t="shared" si="12"/>
        <v>KP Münster</v>
      </c>
      <c r="W16" s="77">
        <f t="shared" si="5"/>
      </c>
      <c r="X16" s="77">
        <f t="shared" si="6"/>
      </c>
      <c r="Y16" s="77">
        <f t="shared" si="7"/>
      </c>
      <c r="Z16" s="77">
        <f t="shared" si="8"/>
      </c>
      <c r="AA16" s="77">
        <f t="shared" si="9"/>
      </c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</row>
    <row r="17" spans="1:73" ht="16.5">
      <c r="A17" s="12">
        <f t="shared" si="14"/>
        <v>39</v>
      </c>
      <c r="B17" s="12" t="s">
        <v>18</v>
      </c>
      <c r="C17" s="12">
        <v>1</v>
      </c>
      <c r="D17" s="13">
        <v>0.631944444444444</v>
      </c>
      <c r="E17" s="12" t="str">
        <f>Saisondaten!B28</f>
        <v>ACC Hamburg</v>
      </c>
      <c r="F17" s="12" t="s">
        <v>28</v>
      </c>
      <c r="G17" s="12" t="str">
        <f>Saisondaten!B34</f>
        <v>KSVH Berlin</v>
      </c>
      <c r="H17" s="14"/>
      <c r="I17" s="12" t="s">
        <v>28</v>
      </c>
      <c r="J17" s="14"/>
      <c r="K17" s="121" t="str">
        <f>IF(VLOOKUP(A17,Schiedsrichter!$A$3:$I$58,8,FALSE)=0,"-",VLOOKUP(A17,Schiedsrichter!$A$3:$I$58,8,FALSE))</f>
        <v>WSF Liblar</v>
      </c>
      <c r="L17" s="111" t="s">
        <v>122</v>
      </c>
      <c r="M17" s="124" t="str">
        <f>IF(VLOOKUP(A17,Schiedsrichter!$A$3:$I$58,9,FALSE)=0,"-",VLOOKUP(A17,Schiedsrichter!$A$3:$I$58,9,FALSE))</f>
        <v>PSC Coburg</v>
      </c>
      <c r="O17" s="77" t="str">
        <f t="shared" si="11"/>
        <v>na</v>
      </c>
      <c r="P17" s="77" t="str">
        <f t="shared" si="15"/>
        <v>ACC Hamburg</v>
      </c>
      <c r="Q17" s="77">
        <f t="shared" si="0"/>
      </c>
      <c r="R17" s="77">
        <f t="shared" si="1"/>
      </c>
      <c r="S17" s="77">
        <f t="shared" si="2"/>
      </c>
      <c r="T17" s="77">
        <f t="shared" si="3"/>
      </c>
      <c r="U17" s="77">
        <f t="shared" si="4"/>
      </c>
      <c r="V17" s="77" t="str">
        <f>G17</f>
        <v>KSVH Berlin</v>
      </c>
      <c r="W17" s="77">
        <f t="shared" si="5"/>
      </c>
      <c r="X17" s="77">
        <f t="shared" si="6"/>
      </c>
      <c r="Y17" s="77">
        <f t="shared" si="7"/>
      </c>
      <c r="Z17" s="77">
        <f t="shared" si="8"/>
      </c>
      <c r="AA17" s="77">
        <f t="shared" si="9"/>
      </c>
      <c r="AB17" s="77"/>
      <c r="AC17" s="77"/>
      <c r="AD17" s="30" t="s">
        <v>30</v>
      </c>
      <c r="AE17" s="77" t="s">
        <v>39</v>
      </c>
      <c r="AF17" s="77" t="s">
        <v>32</v>
      </c>
      <c r="AG17" s="77" t="s">
        <v>38</v>
      </c>
      <c r="AH17" s="77" t="s">
        <v>35</v>
      </c>
      <c r="AI17" s="77" t="s">
        <v>16</v>
      </c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</row>
    <row r="18" spans="1:73" ht="16.5">
      <c r="A18" s="79">
        <f t="shared" si="14"/>
        <v>40</v>
      </c>
      <c r="B18" s="79" t="s">
        <v>18</v>
      </c>
      <c r="C18" s="79">
        <v>1</v>
      </c>
      <c r="D18" s="80">
        <v>0.659722222222222</v>
      </c>
      <c r="E18" s="79" t="str">
        <f>Saisondaten!B30</f>
        <v>KRM Essen</v>
      </c>
      <c r="F18" s="79" t="s">
        <v>28</v>
      </c>
      <c r="G18" s="79" t="str">
        <f>Saisondaten!B32</f>
        <v>1. MKC Duisburg</v>
      </c>
      <c r="H18" s="81"/>
      <c r="I18" s="79" t="s">
        <v>28</v>
      </c>
      <c r="J18" s="81"/>
      <c r="K18" s="122" t="str">
        <f>IF(VLOOKUP(A18,Schiedsrichter!$A$3:$I$58,8,FALSE)=0,"-",VLOOKUP(A18,Schiedsrichter!$A$3:$I$58,8,FALSE))</f>
        <v>KCNW Berlin</v>
      </c>
      <c r="L18" s="112" t="s">
        <v>122</v>
      </c>
      <c r="M18" s="125" t="str">
        <f>IF(VLOOKUP(A18,Schiedsrichter!$A$3:$I$58,9,FALSE)=0,"-",VLOOKUP(A18,Schiedsrichter!$A$3:$I$58,9,FALSE))</f>
        <v>KP Münster</v>
      </c>
      <c r="O18" s="77" t="str">
        <f t="shared" si="11"/>
        <v>na</v>
      </c>
      <c r="P18" s="77" t="str">
        <f t="shared" si="15"/>
        <v>KRM Essen</v>
      </c>
      <c r="Q18" s="77">
        <f t="shared" si="0"/>
      </c>
      <c r="R18" s="77">
        <f t="shared" si="1"/>
      </c>
      <c r="S18" s="77">
        <f t="shared" si="2"/>
      </c>
      <c r="T18" s="77">
        <f t="shared" si="3"/>
      </c>
      <c r="U18" s="77">
        <f t="shared" si="4"/>
      </c>
      <c r="V18" s="77" t="str">
        <f t="shared" si="12"/>
        <v>1. MKC Duisburg</v>
      </c>
      <c r="W18" s="77">
        <f t="shared" si="5"/>
      </c>
      <c r="X18" s="77">
        <f t="shared" si="6"/>
      </c>
      <c r="Y18" s="77">
        <f t="shared" si="7"/>
      </c>
      <c r="Z18" s="77">
        <f t="shared" si="8"/>
      </c>
      <c r="AA18" s="77">
        <f t="shared" si="9"/>
      </c>
      <c r="AB18" s="77"/>
      <c r="AC18" s="77"/>
      <c r="AD18" s="77" t="str">
        <f>AD7</f>
        <v>ACC Hamburg</v>
      </c>
      <c r="AE18" s="77">
        <f>SUMIF($V$7:$V$37,$AD18,W$7:W$37)</f>
        <v>0</v>
      </c>
      <c r="AF18" s="77">
        <f>SUMIF($V$7:$V$37,$AD18,X$7:X$37)</f>
        <v>0</v>
      </c>
      <c r="AG18" s="77">
        <f>SUMIF($V$7:$V$37,$AD18,Y$7:Y$37)</f>
        <v>0</v>
      </c>
      <c r="AH18" s="77">
        <f>SUMIF($V$7:$V$37,$AD18,Z$7:Z$37)</f>
        <v>0</v>
      </c>
      <c r="AI18" s="77">
        <f>SUMIF($V$7:$V$37,$AD18,AA$7:AA$37)</f>
        <v>0</v>
      </c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</row>
    <row r="19" spans="1:73" ht="16.5">
      <c r="A19" s="12">
        <f t="shared" si="14"/>
        <v>41</v>
      </c>
      <c r="B19" s="12" t="s">
        <v>18</v>
      </c>
      <c r="C19" s="12">
        <v>1</v>
      </c>
      <c r="D19" s="13">
        <v>0.6875</v>
      </c>
      <c r="E19" s="12" t="str">
        <f>Saisondaten!B29</f>
        <v>PSC Coburg</v>
      </c>
      <c r="F19" s="12" t="s">
        <v>28</v>
      </c>
      <c r="G19" s="12" t="str">
        <f>Saisondaten!B33</f>
        <v>WSF Liblar</v>
      </c>
      <c r="H19" s="14"/>
      <c r="I19" s="12" t="s">
        <v>28</v>
      </c>
      <c r="J19" s="14"/>
      <c r="K19" s="121" t="str">
        <f>IF(VLOOKUP(A19,Schiedsrichter!$A$3:$I$58,8,FALSE)=0,"-",VLOOKUP(A19,Schiedsrichter!$A$3:$I$58,8,FALSE))</f>
        <v>KP Münster</v>
      </c>
      <c r="L19" s="111" t="s">
        <v>122</v>
      </c>
      <c r="M19" s="124" t="str">
        <f>IF(VLOOKUP(A19,Schiedsrichter!$A$3:$I$58,9,FALSE)=0,"-",VLOOKUP(A19,Schiedsrichter!$A$3:$I$58,9,FALSE))</f>
        <v>KCNW Berlin</v>
      </c>
      <c r="O19" s="77" t="str">
        <f t="shared" si="11"/>
        <v>na</v>
      </c>
      <c r="P19" s="77" t="str">
        <f t="shared" si="15"/>
        <v>PSC Coburg</v>
      </c>
      <c r="Q19" s="77">
        <f t="shared" si="0"/>
      </c>
      <c r="R19" s="77">
        <f t="shared" si="1"/>
      </c>
      <c r="S19" s="77">
        <f t="shared" si="2"/>
      </c>
      <c r="T19" s="77">
        <f t="shared" si="3"/>
      </c>
      <c r="U19" s="77">
        <f t="shared" si="4"/>
      </c>
      <c r="V19" s="77" t="str">
        <f t="shared" si="12"/>
        <v>WSF Liblar</v>
      </c>
      <c r="W19" s="77">
        <f t="shared" si="5"/>
      </c>
      <c r="X19" s="77">
        <f t="shared" si="6"/>
      </c>
      <c r="Y19" s="77">
        <f t="shared" si="7"/>
      </c>
      <c r="Z19" s="77">
        <f t="shared" si="8"/>
      </c>
      <c r="AA19" s="77">
        <f t="shared" si="9"/>
      </c>
      <c r="AB19" s="77"/>
      <c r="AC19" s="77"/>
      <c r="AD19" s="77" t="str">
        <f aca="true" t="shared" si="16" ref="AD19:AD25">AD8</f>
        <v>KRM Essen</v>
      </c>
      <c r="AE19" s="77">
        <f aca="true" t="shared" si="17" ref="AE19:AI25">SUMIF($V$7:$V$37,$AD19,W$7:W$37)</f>
        <v>0</v>
      </c>
      <c r="AF19" s="77">
        <f t="shared" si="17"/>
        <v>0</v>
      </c>
      <c r="AG19" s="77">
        <f t="shared" si="17"/>
        <v>0</v>
      </c>
      <c r="AH19" s="77">
        <f t="shared" si="17"/>
        <v>0</v>
      </c>
      <c r="AI19" s="77">
        <f t="shared" si="17"/>
        <v>0</v>
      </c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</row>
    <row r="20" spans="1:73" ht="16.5">
      <c r="A20" s="79">
        <f t="shared" si="14"/>
        <v>42</v>
      </c>
      <c r="B20" s="79" t="s">
        <v>18</v>
      </c>
      <c r="C20" s="79">
        <v>1</v>
      </c>
      <c r="D20" s="80">
        <v>0.715277777777778</v>
      </c>
      <c r="E20" s="79" t="str">
        <f>Saisondaten!B28</f>
        <v>ACC Hamburg</v>
      </c>
      <c r="F20" s="79" t="s">
        <v>28</v>
      </c>
      <c r="G20" s="79" t="str">
        <f>Saisondaten!B30</f>
        <v>KRM Essen</v>
      </c>
      <c r="H20" s="81"/>
      <c r="I20" s="79" t="s">
        <v>28</v>
      </c>
      <c r="J20" s="81"/>
      <c r="K20" s="122" t="str">
        <f>IF(VLOOKUP(A20,Schiedsrichter!$A$3:$I$58,8,FALSE)=0,"-",VLOOKUP(A20,Schiedsrichter!$A$3:$I$58,8,FALSE))</f>
        <v>1. MKC Duisburg</v>
      </c>
      <c r="L20" s="112" t="s">
        <v>122</v>
      </c>
      <c r="M20" s="125" t="str">
        <f>IF(VLOOKUP(A20,Schiedsrichter!$A$3:$I$58,9,FALSE)=0,"-",VLOOKUP(A20,Schiedsrichter!$A$3:$I$58,9,FALSE))</f>
        <v>WSF Liblar</v>
      </c>
      <c r="O20" s="77" t="str">
        <f t="shared" si="11"/>
        <v>na</v>
      </c>
      <c r="P20" s="77" t="str">
        <f t="shared" si="15"/>
        <v>ACC Hamburg</v>
      </c>
      <c r="Q20" s="77">
        <f t="shared" si="0"/>
      </c>
      <c r="R20" s="77">
        <f t="shared" si="1"/>
      </c>
      <c r="S20" s="77">
        <f t="shared" si="2"/>
      </c>
      <c r="T20" s="77">
        <f t="shared" si="3"/>
      </c>
      <c r="U20" s="77">
        <f t="shared" si="4"/>
      </c>
      <c r="V20" s="77" t="str">
        <f t="shared" si="12"/>
        <v>KRM Essen</v>
      </c>
      <c r="W20" s="77">
        <f t="shared" si="5"/>
      </c>
      <c r="X20" s="77">
        <f t="shared" si="6"/>
      </c>
      <c r="Y20" s="77">
        <f t="shared" si="7"/>
      </c>
      <c r="Z20" s="77">
        <f t="shared" si="8"/>
      </c>
      <c r="AA20" s="77">
        <f t="shared" si="9"/>
      </c>
      <c r="AB20" s="77"/>
      <c r="AC20" s="77"/>
      <c r="AD20" s="77" t="str">
        <f t="shared" si="16"/>
        <v>PSC Coburg</v>
      </c>
      <c r="AE20" s="77">
        <f t="shared" si="17"/>
        <v>0</v>
      </c>
      <c r="AF20" s="77">
        <f t="shared" si="17"/>
        <v>0</v>
      </c>
      <c r="AG20" s="77">
        <f t="shared" si="17"/>
        <v>0</v>
      </c>
      <c r="AH20" s="77">
        <f t="shared" si="17"/>
        <v>0</v>
      </c>
      <c r="AI20" s="77">
        <f t="shared" si="17"/>
        <v>0</v>
      </c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</row>
    <row r="21" spans="1:73" ht="16.5">
      <c r="A21" s="12">
        <f t="shared" si="14"/>
        <v>43</v>
      </c>
      <c r="B21" s="12" t="s">
        <v>18</v>
      </c>
      <c r="C21" s="12">
        <v>1</v>
      </c>
      <c r="D21" s="13">
        <v>0.743055555555555</v>
      </c>
      <c r="E21" s="12" t="str">
        <f>Saisondaten!B31</f>
        <v>KCNW Berlin</v>
      </c>
      <c r="F21" s="12" t="s">
        <v>28</v>
      </c>
      <c r="G21" s="12" t="str">
        <f>Saisondaten!B34</f>
        <v>KSVH Berlin</v>
      </c>
      <c r="H21" s="14"/>
      <c r="I21" s="12" t="s">
        <v>28</v>
      </c>
      <c r="J21" s="14"/>
      <c r="K21" s="121" t="str">
        <f>IF(VLOOKUP(A21,Schiedsrichter!$A$3:$I$58,8,FALSE)=0,"-",VLOOKUP(A21,Schiedsrichter!$A$3:$I$58,8,FALSE))</f>
        <v>PSC Coburg</v>
      </c>
      <c r="L21" s="111" t="s">
        <v>122</v>
      </c>
      <c r="M21" s="124" t="str">
        <f>IF(VLOOKUP(A21,Schiedsrichter!$A$3:$I$58,9,FALSE)=0,"-",VLOOKUP(A21,Schiedsrichter!$A$3:$I$58,9,FALSE))</f>
        <v>ACC Hamburg</v>
      </c>
      <c r="O21" s="77" t="str">
        <f t="shared" si="11"/>
        <v>na</v>
      </c>
      <c r="P21" s="77" t="str">
        <f t="shared" si="15"/>
        <v>KCNW Berlin</v>
      </c>
      <c r="Q21" s="77">
        <f t="shared" si="0"/>
      </c>
      <c r="R21" s="77">
        <f t="shared" si="1"/>
      </c>
      <c r="S21" s="77">
        <f t="shared" si="2"/>
      </c>
      <c r="T21" s="77">
        <f t="shared" si="3"/>
      </c>
      <c r="U21" s="77">
        <f t="shared" si="4"/>
      </c>
      <c r="V21" s="77" t="str">
        <f t="shared" si="12"/>
        <v>KSVH Berlin</v>
      </c>
      <c r="W21" s="77">
        <f t="shared" si="5"/>
      </c>
      <c r="X21" s="77">
        <f t="shared" si="6"/>
      </c>
      <c r="Y21" s="77">
        <f t="shared" si="7"/>
      </c>
      <c r="Z21" s="77">
        <f t="shared" si="8"/>
      </c>
      <c r="AA21" s="77">
        <f t="shared" si="9"/>
      </c>
      <c r="AB21" s="77"/>
      <c r="AC21" s="77"/>
      <c r="AD21" s="77" t="str">
        <f t="shared" si="16"/>
        <v>KCNW Berlin</v>
      </c>
      <c r="AE21" s="77">
        <f t="shared" si="17"/>
        <v>0</v>
      </c>
      <c r="AF21" s="77">
        <f t="shared" si="17"/>
        <v>0</v>
      </c>
      <c r="AG21" s="77">
        <f t="shared" si="17"/>
        <v>0</v>
      </c>
      <c r="AH21" s="77">
        <f t="shared" si="17"/>
        <v>0</v>
      </c>
      <c r="AI21" s="77">
        <f t="shared" si="17"/>
        <v>0</v>
      </c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</row>
    <row r="22" spans="1:73" ht="16.5">
      <c r="A22" s="79">
        <f t="shared" si="14"/>
        <v>44</v>
      </c>
      <c r="B22" s="79" t="s">
        <v>18</v>
      </c>
      <c r="C22" s="79">
        <v>1</v>
      </c>
      <c r="D22" s="80">
        <v>0.770833333333333</v>
      </c>
      <c r="E22" s="79" t="str">
        <f>Saisondaten!B32</f>
        <v>1. MKC Duisburg</v>
      </c>
      <c r="F22" s="79" t="s">
        <v>28</v>
      </c>
      <c r="G22" s="79" t="str">
        <f>Saisondaten!B35</f>
        <v>KP Münster</v>
      </c>
      <c r="H22" s="81"/>
      <c r="I22" s="79" t="s">
        <v>28</v>
      </c>
      <c r="J22" s="81"/>
      <c r="K22" s="122" t="str">
        <f>IF(VLOOKUP(A22,Schiedsrichter!$A$3:$I$58,8,FALSE)=0,"-",VLOOKUP(A22,Schiedsrichter!$A$3:$I$58,8,FALSE))</f>
        <v>KSVH Berlin</v>
      </c>
      <c r="L22" s="112" t="s">
        <v>122</v>
      </c>
      <c r="M22" s="125" t="str">
        <f>IF(VLOOKUP(A22,Schiedsrichter!$A$3:$I$58,9,FALSE)=0,"-",VLOOKUP(A22,Schiedsrichter!$A$3:$I$58,9,FALSE))</f>
        <v>KRM Essen</v>
      </c>
      <c r="O22" s="77" t="str">
        <f t="shared" si="11"/>
        <v>na</v>
      </c>
      <c r="P22" s="77" t="str">
        <f t="shared" si="15"/>
        <v>1. MKC Duisburg</v>
      </c>
      <c r="Q22" s="77">
        <f t="shared" si="0"/>
      </c>
      <c r="R22" s="77">
        <f t="shared" si="1"/>
      </c>
      <c r="S22" s="77">
        <f t="shared" si="2"/>
      </c>
      <c r="T22" s="77">
        <f t="shared" si="3"/>
      </c>
      <c r="U22" s="77">
        <f t="shared" si="4"/>
      </c>
      <c r="V22" s="77" t="str">
        <f t="shared" si="12"/>
        <v>KP Münster</v>
      </c>
      <c r="W22" s="77">
        <f t="shared" si="5"/>
      </c>
      <c r="X22" s="77">
        <f t="shared" si="6"/>
      </c>
      <c r="Y22" s="77">
        <f t="shared" si="7"/>
      </c>
      <c r="Z22" s="77">
        <f t="shared" si="8"/>
      </c>
      <c r="AA22" s="77">
        <f t="shared" si="9"/>
      </c>
      <c r="AB22" s="77"/>
      <c r="AC22" s="77"/>
      <c r="AD22" s="77" t="str">
        <f t="shared" si="16"/>
        <v>WSF Liblar</v>
      </c>
      <c r="AE22" s="77">
        <f t="shared" si="17"/>
        <v>0</v>
      </c>
      <c r="AF22" s="77">
        <f t="shared" si="17"/>
        <v>0</v>
      </c>
      <c r="AG22" s="77">
        <f t="shared" si="17"/>
        <v>0</v>
      </c>
      <c r="AH22" s="77">
        <f t="shared" si="17"/>
        <v>0</v>
      </c>
      <c r="AI22" s="77">
        <f t="shared" si="17"/>
        <v>0</v>
      </c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</row>
    <row r="23" spans="1:73" ht="7.5" customHeight="1">
      <c r="A23" s="3"/>
      <c r="B23" s="3"/>
      <c r="C23" s="3"/>
      <c r="D23" s="4"/>
      <c r="E23" s="3"/>
      <c r="F23" s="3"/>
      <c r="G23" s="3"/>
      <c r="H23" s="3"/>
      <c r="I23" s="3"/>
      <c r="J23" s="3"/>
      <c r="K23" s="3"/>
      <c r="L23" s="3"/>
      <c r="M23" s="3"/>
      <c r="O23" s="77"/>
      <c r="P23" s="77"/>
      <c r="Q23" s="77"/>
      <c r="R23" s="77"/>
      <c r="S23" s="77"/>
      <c r="T23" s="77"/>
      <c r="U23" s="77"/>
      <c r="V23" s="77"/>
      <c r="W23" s="77">
        <f t="shared" si="5"/>
      </c>
      <c r="X23" s="77">
        <f t="shared" si="6"/>
      </c>
      <c r="Y23" s="77">
        <f t="shared" si="7"/>
      </c>
      <c r="Z23" s="77">
        <f t="shared" si="8"/>
      </c>
      <c r="AA23" s="77">
        <f t="shared" si="9"/>
      </c>
      <c r="AB23" s="77"/>
      <c r="AC23" s="77"/>
      <c r="AD23" s="77" t="str">
        <f t="shared" si="16"/>
        <v>KSVH Berlin</v>
      </c>
      <c r="AE23" s="77">
        <f t="shared" si="17"/>
        <v>0</v>
      </c>
      <c r="AF23" s="77">
        <f t="shared" si="17"/>
        <v>0</v>
      </c>
      <c r="AG23" s="77">
        <f t="shared" si="17"/>
        <v>0</v>
      </c>
      <c r="AH23" s="77">
        <f t="shared" si="17"/>
        <v>0</v>
      </c>
      <c r="AI23" s="77">
        <f t="shared" si="17"/>
        <v>0</v>
      </c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</row>
    <row r="24" spans="1:73" ht="17.25">
      <c r="A24" s="231" t="str">
        <f>TEXT(Saisondaten!$C$9,"[$-F800]TTTT, MMMM TT, JJJJ")</f>
        <v>Sonntag, 14. Juli 2019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O24" s="77"/>
      <c r="P24" s="77"/>
      <c r="Q24" s="77"/>
      <c r="R24" s="77"/>
      <c r="S24" s="77"/>
      <c r="T24" s="77"/>
      <c r="U24" s="77"/>
      <c r="V24" s="77"/>
      <c r="W24" s="77">
        <f t="shared" si="5"/>
      </c>
      <c r="X24" s="77">
        <f t="shared" si="6"/>
      </c>
      <c r="Y24" s="77">
        <f t="shared" si="7"/>
      </c>
      <c r="Z24" s="77">
        <f t="shared" si="8"/>
      </c>
      <c r="AA24" s="77">
        <f t="shared" si="9"/>
      </c>
      <c r="AB24" s="77"/>
      <c r="AC24" s="77"/>
      <c r="AD24" s="77" t="str">
        <f t="shared" si="16"/>
        <v>1. MKC Duisburg</v>
      </c>
      <c r="AE24" s="77">
        <f t="shared" si="17"/>
        <v>0</v>
      </c>
      <c r="AF24" s="77">
        <f t="shared" si="17"/>
        <v>0</v>
      </c>
      <c r="AG24" s="77">
        <f t="shared" si="17"/>
        <v>0</v>
      </c>
      <c r="AH24" s="77">
        <f t="shared" si="17"/>
        <v>0</v>
      </c>
      <c r="AI24" s="77">
        <f t="shared" si="17"/>
        <v>0</v>
      </c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</row>
    <row r="25" spans="1:73" ht="16.5">
      <c r="A25" s="9">
        <f>A22+1</f>
        <v>45</v>
      </c>
      <c r="B25" s="9" t="s">
        <v>18</v>
      </c>
      <c r="C25" s="9">
        <v>1</v>
      </c>
      <c r="D25" s="10">
        <v>0.3333333333333333</v>
      </c>
      <c r="E25" s="9" t="str">
        <f>Saisondaten!B33</f>
        <v>WSF Liblar</v>
      </c>
      <c r="F25" s="9" t="s">
        <v>28</v>
      </c>
      <c r="G25" s="9" t="str">
        <f>Saisondaten!B35</f>
        <v>KP Münster</v>
      </c>
      <c r="H25" s="11"/>
      <c r="I25" s="9" t="s">
        <v>28</v>
      </c>
      <c r="J25" s="11"/>
      <c r="K25" s="120" t="str">
        <f>IF(VLOOKUP(A25,Schiedsrichter!$A$3:$I$58,8,FALSE)=0,"-",VLOOKUP(A25,Schiedsrichter!$A$3:$I$58,8,FALSE))</f>
        <v>KRM Essen</v>
      </c>
      <c r="L25" s="113" t="s">
        <v>122</v>
      </c>
      <c r="M25" s="123" t="str">
        <f>IF(VLOOKUP(A25,Schiedsrichter!$A$3:$I$58,9,FALSE)=0,"-",VLOOKUP(A25,Schiedsrichter!$A$3:$I$58,9,FALSE))</f>
        <v>KSVH Berlin</v>
      </c>
      <c r="O25" s="77" t="str">
        <f t="shared" si="11"/>
        <v>na</v>
      </c>
      <c r="P25" s="77" t="str">
        <f t="shared" si="15"/>
        <v>WSF Liblar</v>
      </c>
      <c r="Q25" s="77">
        <f t="shared" si="0"/>
      </c>
      <c r="R25" s="77">
        <f t="shared" si="1"/>
      </c>
      <c r="S25" s="77">
        <f t="shared" si="2"/>
      </c>
      <c r="T25" s="77">
        <f t="shared" si="3"/>
      </c>
      <c r="U25" s="77">
        <f t="shared" si="4"/>
      </c>
      <c r="V25" s="77" t="str">
        <f t="shared" si="12"/>
        <v>KP Münster</v>
      </c>
      <c r="W25" s="77">
        <f t="shared" si="5"/>
      </c>
      <c r="X25" s="77">
        <f t="shared" si="6"/>
      </c>
      <c r="Y25" s="77">
        <f t="shared" si="7"/>
      </c>
      <c r="Z25" s="77">
        <f t="shared" si="8"/>
      </c>
      <c r="AA25" s="77">
        <f t="shared" si="9"/>
      </c>
      <c r="AB25" s="77"/>
      <c r="AC25" s="77"/>
      <c r="AD25" s="77" t="str">
        <f t="shared" si="16"/>
        <v>KP Münster</v>
      </c>
      <c r="AE25" s="77">
        <f t="shared" si="17"/>
        <v>0</v>
      </c>
      <c r="AF25" s="77">
        <f t="shared" si="17"/>
        <v>0</v>
      </c>
      <c r="AG25" s="77">
        <f t="shared" si="17"/>
        <v>0</v>
      </c>
      <c r="AH25" s="77">
        <f t="shared" si="17"/>
        <v>0</v>
      </c>
      <c r="AI25" s="77">
        <f t="shared" si="17"/>
        <v>0</v>
      </c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</row>
    <row r="26" spans="1:73" ht="16.5">
      <c r="A26" s="79">
        <f aca="true" t="shared" si="18" ref="A26:A36">A25+1</f>
        <v>46</v>
      </c>
      <c r="B26" s="79" t="s">
        <v>18</v>
      </c>
      <c r="C26" s="79">
        <v>1</v>
      </c>
      <c r="D26" s="80">
        <v>0.3611111111111111</v>
      </c>
      <c r="E26" s="79" t="str">
        <f>Saisondaten!B29</f>
        <v>PSC Coburg</v>
      </c>
      <c r="F26" s="79" t="s">
        <v>28</v>
      </c>
      <c r="G26" s="79" t="str">
        <f>Saisondaten!B31</f>
        <v>KCNW Berlin</v>
      </c>
      <c r="H26" s="81"/>
      <c r="I26" s="79" t="s">
        <v>28</v>
      </c>
      <c r="J26" s="81"/>
      <c r="K26" s="122" t="str">
        <f>IF(VLOOKUP(A26,Schiedsrichter!$A$3:$I$58,8,FALSE)=0,"-",VLOOKUP(A26,Schiedsrichter!$A$3:$I$58,8,FALSE))</f>
        <v>ACC Hamburg</v>
      </c>
      <c r="L26" s="112" t="s">
        <v>122</v>
      </c>
      <c r="M26" s="125" t="str">
        <f>IF(VLOOKUP(A26,Schiedsrichter!$A$3:$I$58,9,FALSE)=0,"-",VLOOKUP(A26,Schiedsrichter!$A$3:$I$58,9,FALSE))</f>
        <v>1. MKC Duisburg</v>
      </c>
      <c r="O26" s="77" t="str">
        <f t="shared" si="11"/>
        <v>na</v>
      </c>
      <c r="P26" s="77" t="str">
        <f t="shared" si="15"/>
        <v>PSC Coburg</v>
      </c>
      <c r="Q26" s="77">
        <f t="shared" si="0"/>
      </c>
      <c r="R26" s="77">
        <f t="shared" si="1"/>
      </c>
      <c r="S26" s="77">
        <f t="shared" si="2"/>
      </c>
      <c r="T26" s="77">
        <f t="shared" si="3"/>
      </c>
      <c r="U26" s="77">
        <f t="shared" si="4"/>
      </c>
      <c r="V26" s="77" t="str">
        <f t="shared" si="12"/>
        <v>KCNW Berlin</v>
      </c>
      <c r="W26" s="77">
        <f t="shared" si="5"/>
      </c>
      <c r="X26" s="77">
        <f t="shared" si="6"/>
      </c>
      <c r="Y26" s="77">
        <f t="shared" si="7"/>
      </c>
      <c r="Z26" s="77">
        <f t="shared" si="8"/>
      </c>
      <c r="AA26" s="77">
        <f t="shared" si="9"/>
      </c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</row>
    <row r="27" spans="1:73" ht="16.5">
      <c r="A27" s="12">
        <f t="shared" si="18"/>
        <v>47</v>
      </c>
      <c r="B27" s="12" t="s">
        <v>18</v>
      </c>
      <c r="C27" s="12">
        <v>1</v>
      </c>
      <c r="D27" s="13">
        <v>0.388888888888889</v>
      </c>
      <c r="E27" s="12" t="str">
        <f>Saisondaten!B30</f>
        <v>KRM Essen</v>
      </c>
      <c r="F27" s="12" t="s">
        <v>28</v>
      </c>
      <c r="G27" s="12" t="str">
        <f>Saisondaten!B34</f>
        <v>KSVH Berlin</v>
      </c>
      <c r="H27" s="14"/>
      <c r="I27" s="12" t="s">
        <v>28</v>
      </c>
      <c r="J27" s="14"/>
      <c r="K27" s="121" t="str">
        <f>IF(VLOOKUP(A27,Schiedsrichter!$A$3:$I$58,8,FALSE)=0,"-",VLOOKUP(A27,Schiedsrichter!$A$3:$I$58,8,FALSE))</f>
        <v>WSF Liblar</v>
      </c>
      <c r="L27" s="111" t="s">
        <v>122</v>
      </c>
      <c r="M27" s="124" t="str">
        <f>IF(VLOOKUP(A27,Schiedsrichter!$A$3:$I$58,9,FALSE)=0,"-",VLOOKUP(A27,Schiedsrichter!$A$3:$I$58,9,FALSE))</f>
        <v>KP Münster</v>
      </c>
      <c r="O27" s="77" t="str">
        <f t="shared" si="11"/>
        <v>na</v>
      </c>
      <c r="P27" s="77" t="str">
        <f t="shared" si="15"/>
        <v>KRM Essen</v>
      </c>
      <c r="Q27" s="77">
        <f t="shared" si="0"/>
      </c>
      <c r="R27" s="77">
        <f t="shared" si="1"/>
      </c>
      <c r="S27" s="77">
        <f t="shared" si="2"/>
      </c>
      <c r="T27" s="77">
        <f t="shared" si="3"/>
      </c>
      <c r="U27" s="77">
        <f t="shared" si="4"/>
      </c>
      <c r="V27" s="77" t="str">
        <f t="shared" si="12"/>
        <v>KSVH Berlin</v>
      </c>
      <c r="W27" s="77">
        <f t="shared" si="5"/>
      </c>
      <c r="X27" s="77">
        <f t="shared" si="6"/>
      </c>
      <c r="Y27" s="77">
        <f t="shared" si="7"/>
      </c>
      <c r="Z27" s="77">
        <f t="shared" si="8"/>
      </c>
      <c r="AA27" s="77">
        <f t="shared" si="9"/>
      </c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</row>
    <row r="28" spans="1:73" ht="16.5">
      <c r="A28" s="79">
        <f t="shared" si="18"/>
        <v>48</v>
      </c>
      <c r="B28" s="79" t="s">
        <v>18</v>
      </c>
      <c r="C28" s="79">
        <v>1</v>
      </c>
      <c r="D28" s="80">
        <v>0.4166666666666667</v>
      </c>
      <c r="E28" s="79" t="str">
        <f>Saisondaten!B28</f>
        <v>ACC Hamburg</v>
      </c>
      <c r="F28" s="79" t="s">
        <v>28</v>
      </c>
      <c r="G28" s="79" t="str">
        <f>Saisondaten!B32</f>
        <v>1. MKC Duisburg</v>
      </c>
      <c r="H28" s="81"/>
      <c r="I28" s="79" t="s">
        <v>28</v>
      </c>
      <c r="J28" s="81"/>
      <c r="K28" s="122" t="str">
        <f>IF(VLOOKUP(A28,Schiedsrichter!$A$3:$I$58,8,FALSE)=0,"-",VLOOKUP(A28,Schiedsrichter!$A$3:$I$58,8,FALSE))</f>
        <v>PSC Coburg</v>
      </c>
      <c r="L28" s="112" t="s">
        <v>122</v>
      </c>
      <c r="M28" s="125" t="str">
        <f>IF(VLOOKUP(A28,Schiedsrichter!$A$3:$I$58,9,FALSE)=0,"-",VLOOKUP(A28,Schiedsrichter!$A$3:$I$58,9,FALSE))</f>
        <v>KCNW Berlin</v>
      </c>
      <c r="O28" s="77" t="str">
        <f t="shared" si="11"/>
        <v>na</v>
      </c>
      <c r="P28" s="77" t="str">
        <f t="shared" si="15"/>
        <v>ACC Hamburg</v>
      </c>
      <c r="Q28" s="77">
        <f t="shared" si="0"/>
      </c>
      <c r="R28" s="77">
        <f t="shared" si="1"/>
      </c>
      <c r="S28" s="77">
        <f t="shared" si="2"/>
      </c>
      <c r="T28" s="77">
        <f t="shared" si="3"/>
      </c>
      <c r="U28" s="77">
        <f t="shared" si="4"/>
      </c>
      <c r="V28" s="77" t="str">
        <f t="shared" si="12"/>
        <v>1. MKC Duisburg</v>
      </c>
      <c r="W28" s="77">
        <f t="shared" si="5"/>
      </c>
      <c r="X28" s="77">
        <f t="shared" si="6"/>
      </c>
      <c r="Y28" s="77">
        <f t="shared" si="7"/>
      </c>
      <c r="Z28" s="77">
        <f t="shared" si="8"/>
      </c>
      <c r="AA28" s="77">
        <f t="shared" si="9"/>
      </c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</row>
    <row r="29" spans="1:73" ht="16.5">
      <c r="A29" s="12">
        <f t="shared" si="18"/>
        <v>49</v>
      </c>
      <c r="B29" s="12" t="s">
        <v>18</v>
      </c>
      <c r="C29" s="12">
        <v>1</v>
      </c>
      <c r="D29" s="13">
        <v>0.44097222222222227</v>
      </c>
      <c r="E29" s="12" t="str">
        <f>Saisondaten!B31</f>
        <v>KCNW Berlin</v>
      </c>
      <c r="F29" s="12" t="s">
        <v>28</v>
      </c>
      <c r="G29" s="12" t="str">
        <f>Saisondaten!B35</f>
        <v>KP Münster</v>
      </c>
      <c r="H29" s="14"/>
      <c r="I29" s="12" t="s">
        <v>28</v>
      </c>
      <c r="J29" s="14"/>
      <c r="K29" s="121" t="str">
        <f>IF(VLOOKUP(A29,Schiedsrichter!$A$3:$I$58,8,FALSE)=0,"-",VLOOKUP(A29,Schiedsrichter!$A$3:$I$58,8,FALSE))</f>
        <v>ACC Hamburg</v>
      </c>
      <c r="L29" s="111" t="s">
        <v>122</v>
      </c>
      <c r="M29" s="124" t="str">
        <f>IF(VLOOKUP(A29,Schiedsrichter!$A$3:$I$58,9,FALSE)=0,"-",VLOOKUP(A29,Schiedsrichter!$A$3:$I$58,9,FALSE))</f>
        <v>WSF Liblar</v>
      </c>
      <c r="O29" s="77" t="str">
        <f t="shared" si="11"/>
        <v>na</v>
      </c>
      <c r="P29" s="77" t="str">
        <f t="shared" si="15"/>
        <v>KCNW Berlin</v>
      </c>
      <c r="Q29" s="77">
        <f t="shared" si="0"/>
      </c>
      <c r="R29" s="77">
        <f t="shared" si="1"/>
      </c>
      <c r="S29" s="77">
        <f t="shared" si="2"/>
      </c>
      <c r="T29" s="77">
        <f t="shared" si="3"/>
      </c>
      <c r="U29" s="77">
        <f t="shared" si="4"/>
      </c>
      <c r="V29" s="77" t="str">
        <f t="shared" si="12"/>
        <v>KP Münster</v>
      </c>
      <c r="W29" s="77">
        <f t="shared" si="5"/>
      </c>
      <c r="X29" s="77">
        <f t="shared" si="6"/>
      </c>
      <c r="Y29" s="77">
        <f t="shared" si="7"/>
      </c>
      <c r="Z29" s="77">
        <f t="shared" si="8"/>
      </c>
      <c r="AA29" s="77">
        <f t="shared" si="9"/>
      </c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</row>
    <row r="30" spans="1:73" ht="16.5">
      <c r="A30" s="79">
        <f t="shared" si="18"/>
        <v>50</v>
      </c>
      <c r="B30" s="79" t="s">
        <v>18</v>
      </c>
      <c r="C30" s="79">
        <v>1</v>
      </c>
      <c r="D30" s="80">
        <v>0.46527777777777773</v>
      </c>
      <c r="E30" s="79" t="str">
        <f>Saisondaten!B32</f>
        <v>1. MKC Duisburg</v>
      </c>
      <c r="F30" s="79" t="s">
        <v>28</v>
      </c>
      <c r="G30" s="79" t="str">
        <f>Saisondaten!B34</f>
        <v>KSVH Berlin</v>
      </c>
      <c r="H30" s="81"/>
      <c r="I30" s="79" t="s">
        <v>28</v>
      </c>
      <c r="J30" s="81"/>
      <c r="K30" s="122" t="str">
        <f>IF(VLOOKUP(A30,Schiedsrichter!$A$3:$I$58,8,FALSE)=0,"-",VLOOKUP(A30,Schiedsrichter!$A$3:$I$58,8,FALSE))</f>
        <v>KCNW Berlin</v>
      </c>
      <c r="L30" s="112" t="s">
        <v>122</v>
      </c>
      <c r="M30" s="125" t="str">
        <f>IF(VLOOKUP(A30,Schiedsrichter!$A$3:$I$58,9,FALSE)=0,"-",VLOOKUP(A30,Schiedsrichter!$A$3:$I$58,9,FALSE))</f>
        <v>KP Münster</v>
      </c>
      <c r="O30" s="77" t="str">
        <f t="shared" si="11"/>
        <v>na</v>
      </c>
      <c r="P30" s="77" t="str">
        <f t="shared" si="15"/>
        <v>1. MKC Duisburg</v>
      </c>
      <c r="Q30" s="77">
        <f t="shared" si="0"/>
      </c>
      <c r="R30" s="77">
        <f t="shared" si="1"/>
      </c>
      <c r="S30" s="77">
        <f t="shared" si="2"/>
      </c>
      <c r="T30" s="77">
        <f t="shared" si="3"/>
      </c>
      <c r="U30" s="77">
        <f t="shared" si="4"/>
      </c>
      <c r="V30" s="77" t="str">
        <f t="shared" si="12"/>
        <v>KSVH Berlin</v>
      </c>
      <c r="W30" s="77">
        <f t="shared" si="5"/>
      </c>
      <c r="X30" s="77">
        <f t="shared" si="6"/>
      </c>
      <c r="Y30" s="77">
        <f t="shared" si="7"/>
      </c>
      <c r="Z30" s="77">
        <f t="shared" si="8"/>
      </c>
      <c r="AA30" s="77">
        <f t="shared" si="9"/>
      </c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</row>
    <row r="31" spans="1:73" ht="16.5">
      <c r="A31" s="12">
        <f t="shared" si="18"/>
        <v>51</v>
      </c>
      <c r="B31" s="12" t="s">
        <v>18</v>
      </c>
      <c r="C31" s="12">
        <v>1</v>
      </c>
      <c r="D31" s="13">
        <v>0.489583333333333</v>
      </c>
      <c r="E31" s="12" t="str">
        <f>Saisondaten!B29</f>
        <v>PSC Coburg</v>
      </c>
      <c r="F31" s="12" t="s">
        <v>28</v>
      </c>
      <c r="G31" s="12" t="str">
        <f>Saisondaten!B30</f>
        <v>KRM Essen</v>
      </c>
      <c r="H31" s="14"/>
      <c r="I31" s="12" t="s">
        <v>28</v>
      </c>
      <c r="J31" s="14"/>
      <c r="K31" s="121" t="str">
        <f>IF(VLOOKUP(A31,Schiedsrichter!$A$3:$I$58,8,FALSE)=0,"-",VLOOKUP(A31,Schiedsrichter!$A$3:$I$58,8,FALSE))</f>
        <v>1. MKC Duisburg</v>
      </c>
      <c r="L31" s="111" t="s">
        <v>122</v>
      </c>
      <c r="M31" s="124" t="str">
        <f>IF(VLOOKUP(A31,Schiedsrichter!$A$3:$I$58,9,FALSE)=0,"-",VLOOKUP(A31,Schiedsrichter!$A$3:$I$58,9,FALSE))</f>
        <v>KSVH Berlin</v>
      </c>
      <c r="O31" s="77" t="str">
        <f t="shared" si="11"/>
        <v>na</v>
      </c>
      <c r="P31" s="77" t="str">
        <f t="shared" si="15"/>
        <v>PSC Coburg</v>
      </c>
      <c r="Q31" s="77">
        <f t="shared" si="0"/>
      </c>
      <c r="R31" s="77">
        <f t="shared" si="1"/>
      </c>
      <c r="S31" s="77">
        <f t="shared" si="2"/>
      </c>
      <c r="T31" s="77">
        <f t="shared" si="3"/>
      </c>
      <c r="U31" s="77">
        <f t="shared" si="4"/>
      </c>
      <c r="V31" s="77" t="str">
        <f t="shared" si="12"/>
        <v>KRM Essen</v>
      </c>
      <c r="W31" s="77">
        <f t="shared" si="5"/>
      </c>
      <c r="X31" s="77">
        <f t="shared" si="6"/>
      </c>
      <c r="Y31" s="77">
        <f t="shared" si="7"/>
      </c>
      <c r="Z31" s="77">
        <f t="shared" si="8"/>
      </c>
      <c r="AA31" s="77">
        <f t="shared" si="9"/>
      </c>
      <c r="AB31" s="77"/>
      <c r="AC31" s="77" t="s">
        <v>52</v>
      </c>
      <c r="AD31" s="30" t="s">
        <v>30</v>
      </c>
      <c r="AE31" s="77"/>
      <c r="AF31" s="77" t="s">
        <v>39</v>
      </c>
      <c r="AG31" s="77" t="s">
        <v>32</v>
      </c>
      <c r="AH31" s="77" t="s">
        <v>38</v>
      </c>
      <c r="AI31" s="77" t="s">
        <v>35</v>
      </c>
      <c r="AJ31" s="77" t="s">
        <v>16</v>
      </c>
      <c r="AK31" s="77" t="s">
        <v>51</v>
      </c>
      <c r="AL31" s="230" t="s">
        <v>53</v>
      </c>
      <c r="AM31" s="230"/>
      <c r="AN31" s="230"/>
      <c r="AO31" s="230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</row>
    <row r="32" spans="1:73" ht="16.5">
      <c r="A32" s="82">
        <f t="shared" si="18"/>
        <v>52</v>
      </c>
      <c r="B32" s="82" t="s">
        <v>18</v>
      </c>
      <c r="C32" s="82">
        <v>1</v>
      </c>
      <c r="D32" s="83">
        <v>0.513888888888889</v>
      </c>
      <c r="E32" s="82" t="str">
        <f>Saisondaten!B28</f>
        <v>ACC Hamburg</v>
      </c>
      <c r="F32" s="79" t="s">
        <v>28</v>
      </c>
      <c r="G32" s="82" t="str">
        <f>Saisondaten!B33</f>
        <v>WSF Liblar</v>
      </c>
      <c r="H32" s="84"/>
      <c r="I32" s="82" t="s">
        <v>28</v>
      </c>
      <c r="J32" s="84"/>
      <c r="K32" s="126" t="str">
        <f>IF(VLOOKUP(A32,Schiedsrichter!$A$3:$I$58,8,FALSE)=0,"-",VLOOKUP(A32,Schiedsrichter!$A$3:$I$58,8,FALSE))</f>
        <v>PSC Coburg</v>
      </c>
      <c r="L32" s="114" t="s">
        <v>122</v>
      </c>
      <c r="M32" s="129" t="str">
        <f>IF(VLOOKUP(A32,Schiedsrichter!$A$3:$I$58,9,FALSE)=0,"-",VLOOKUP(A32,Schiedsrichter!$A$3:$I$58,9,FALSE))</f>
        <v>KRM Essen</v>
      </c>
      <c r="O32" s="77" t="str">
        <f t="shared" si="11"/>
        <v>na</v>
      </c>
      <c r="P32" s="77" t="str">
        <f t="shared" si="15"/>
        <v>ACC Hamburg</v>
      </c>
      <c r="Q32" s="77">
        <f t="shared" si="0"/>
      </c>
      <c r="R32" s="77">
        <f t="shared" si="1"/>
      </c>
      <c r="S32" s="77">
        <f t="shared" si="2"/>
      </c>
      <c r="T32" s="77">
        <f t="shared" si="3"/>
      </c>
      <c r="U32" s="77">
        <f t="shared" si="4"/>
      </c>
      <c r="V32" s="77" t="str">
        <f t="shared" si="12"/>
        <v>WSF Liblar</v>
      </c>
      <c r="W32" s="77">
        <f t="shared" si="5"/>
      </c>
      <c r="X32" s="77">
        <f t="shared" si="6"/>
      </c>
      <c r="Y32" s="77">
        <f t="shared" si="7"/>
      </c>
      <c r="Z32" s="77">
        <f t="shared" si="8"/>
      </c>
      <c r="AA32" s="77">
        <f t="shared" si="9"/>
      </c>
      <c r="AB32" s="77"/>
      <c r="AC32" s="77">
        <f>RANK(BT32,$BT$32:$BT$43,1)</f>
        <v>8</v>
      </c>
      <c r="AD32" s="77" t="str">
        <f>AD18</f>
        <v>ACC Hamburg</v>
      </c>
      <c r="AE32" s="77"/>
      <c r="AF32" s="77">
        <f>AE18+AE7</f>
        <v>0</v>
      </c>
      <c r="AG32" s="77">
        <f>AF18+AF7</f>
        <v>0</v>
      </c>
      <c r="AH32" s="77">
        <f>AG18+AG7</f>
        <v>0</v>
      </c>
      <c r="AI32" s="77">
        <f>AH18+AH7</f>
        <v>0</v>
      </c>
      <c r="AJ32" s="77">
        <f>AI18+AI7</f>
        <v>0</v>
      </c>
      <c r="AK32" s="77">
        <f>AF32*3+AG32*1</f>
        <v>0</v>
      </c>
      <c r="AL32" s="77">
        <f>AK32*99999999+(AI32-AJ32)*888888+AI32*7777</f>
        <v>0</v>
      </c>
      <c r="AM32" s="77">
        <f>RANK(AL32,AL$32:AL$43,0)</f>
        <v>1</v>
      </c>
      <c r="AN32" s="77">
        <f>IF(COUNTIF(AM$32:AM32,AM32)&gt;1,1,0)</f>
        <v>0</v>
      </c>
      <c r="AO32" s="77">
        <f>AN32+AL32</f>
        <v>0</v>
      </c>
      <c r="AP32" s="77">
        <f>RANK(AO32,AO$32:AO$43,0)</f>
        <v>8</v>
      </c>
      <c r="AQ32" s="77">
        <f>IF(COUNTIF(AP$32:AP32,AP32)&gt;1,1,0)</f>
        <v>0</v>
      </c>
      <c r="AR32" s="77">
        <f>AQ32+AO32</f>
        <v>0</v>
      </c>
      <c r="AS32" s="77">
        <f>RANK(AR32,AR$32:AR$43,0)</f>
        <v>8</v>
      </c>
      <c r="AT32" s="77">
        <f>IF(COUNTIF(AS$32:AS32,AS32)&gt;1,1,0)</f>
        <v>0</v>
      </c>
      <c r="AU32" s="77">
        <f>AT32+AR32</f>
        <v>0</v>
      </c>
      <c r="AV32" s="77">
        <f>RANK(AU32,AU$32:AU$43,0)</f>
        <v>8</v>
      </c>
      <c r="AW32" s="77">
        <f>IF(COUNTIF(AV$32:AV32,AV32)&gt;1,1,0)</f>
        <v>0</v>
      </c>
      <c r="AX32" s="77">
        <f>AW32+AU32</f>
        <v>0</v>
      </c>
      <c r="AY32" s="77">
        <f>RANK(AX32,AX$32:AX$43,0)</f>
        <v>8</v>
      </c>
      <c r="AZ32" s="77">
        <f>IF(COUNTIF(AY$32:AY32,AY32)&gt;1,1,0)</f>
        <v>0</v>
      </c>
      <c r="BA32" s="77">
        <f>AZ32+AX32</f>
        <v>0</v>
      </c>
      <c r="BB32" s="77">
        <f>RANK(BA32,BA$32:BA$43,0)</f>
        <v>8</v>
      </c>
      <c r="BC32" s="77">
        <f>IF(COUNTIF(BB$32:BB32,BB32)&gt;1,1,0)</f>
        <v>0</v>
      </c>
      <c r="BD32" s="77">
        <f>BC32+BA32</f>
        <v>0</v>
      </c>
      <c r="BE32" s="77">
        <f>RANK(BD32,BD$32:BD$43,0)</f>
        <v>8</v>
      </c>
      <c r="BF32" s="77">
        <f>IF(COUNTIF(BE$32:BE32,BE32)&gt;1,1,0)</f>
        <v>0</v>
      </c>
      <c r="BG32" s="77">
        <f>BF32+BD32</f>
        <v>0</v>
      </c>
      <c r="BH32" s="77">
        <f>RANK(BG32,BG$32:BG$43,0)</f>
        <v>8</v>
      </c>
      <c r="BI32" s="77">
        <f>IF(COUNTIF(BH$32:BH32,BH32)&gt;1,1,0)</f>
        <v>0</v>
      </c>
      <c r="BJ32" s="77">
        <f>BI32+BG32</f>
        <v>0</v>
      </c>
      <c r="BK32" s="77">
        <f>RANK(BJ32,BJ$32:BJ$43,0)</f>
        <v>8</v>
      </c>
      <c r="BL32" s="77">
        <f>IF(COUNTIF(BK$32:BK32,BK32)&gt;1,1,0)</f>
        <v>0</v>
      </c>
      <c r="BM32" s="77">
        <f>BL32+BJ32</f>
        <v>0</v>
      </c>
      <c r="BN32" s="77">
        <f>RANK(BM32,BM$32:BM$43,0)</f>
        <v>8</v>
      </c>
      <c r="BO32" s="77">
        <f>IF(COUNTIF(BN$32:BN32,BN32)&gt;1,1,0)</f>
        <v>0</v>
      </c>
      <c r="BP32" s="77">
        <f>BO32+BM32</f>
        <v>0</v>
      </c>
      <c r="BQ32" s="77">
        <f>RANK(BP32,BP$32:BP$43,0)</f>
        <v>8</v>
      </c>
      <c r="BR32" s="77">
        <f>IF(COUNTIF(BQ$32:BQ32,BQ32)&gt;1,1,0)</f>
        <v>0</v>
      </c>
      <c r="BS32" s="77">
        <f>BR32+BP32</f>
        <v>0</v>
      </c>
      <c r="BT32" s="77">
        <f>RANK(BS32,BS$32:BS$43,0)</f>
        <v>8</v>
      </c>
      <c r="BU32" s="77"/>
    </row>
    <row r="33" spans="1:73" ht="16.5">
      <c r="A33" s="12">
        <f t="shared" si="18"/>
        <v>53</v>
      </c>
      <c r="B33" s="12" t="s">
        <v>18</v>
      </c>
      <c r="C33" s="12">
        <v>1</v>
      </c>
      <c r="D33" s="13">
        <v>0.538194444444444</v>
      </c>
      <c r="E33" s="12" t="str">
        <f>Saisondaten!B34</f>
        <v>KSVH Berlin</v>
      </c>
      <c r="F33" s="12" t="s">
        <v>28</v>
      </c>
      <c r="G33" s="12" t="str">
        <f>Saisondaten!B35</f>
        <v>KP Münster</v>
      </c>
      <c r="H33" s="14"/>
      <c r="I33" s="12" t="s">
        <v>28</v>
      </c>
      <c r="J33" s="14"/>
      <c r="K33" s="121" t="str">
        <f>IF(VLOOKUP(A33,Schiedsrichter!$A$3:$I$58,8,FALSE)=0,"-",VLOOKUP(A33,Schiedsrichter!$A$3:$I$58,8,FALSE))</f>
        <v>ACC Hamburg</v>
      </c>
      <c r="L33" s="111" t="s">
        <v>122</v>
      </c>
      <c r="M33" s="124" t="str">
        <f>IF(VLOOKUP(A33,Schiedsrichter!$A$3:$I$58,9,FALSE)=0,"-",VLOOKUP(A33,Schiedsrichter!$A$3:$I$58,9,FALSE))</f>
        <v>PSC Coburg</v>
      </c>
      <c r="O33" s="77" t="str">
        <f t="shared" si="11"/>
        <v>na</v>
      </c>
      <c r="P33" s="77" t="str">
        <f t="shared" si="15"/>
        <v>KSVH Berlin</v>
      </c>
      <c r="Q33" s="77">
        <f t="shared" si="0"/>
      </c>
      <c r="R33" s="77">
        <f t="shared" si="1"/>
      </c>
      <c r="S33" s="77">
        <f t="shared" si="2"/>
      </c>
      <c r="T33" s="77">
        <f t="shared" si="3"/>
      </c>
      <c r="U33" s="77">
        <f t="shared" si="4"/>
      </c>
      <c r="V33" s="77" t="str">
        <f t="shared" si="12"/>
        <v>KP Münster</v>
      </c>
      <c r="W33" s="77">
        <f t="shared" si="5"/>
      </c>
      <c r="X33" s="77">
        <f t="shared" si="6"/>
      </c>
      <c r="Y33" s="77">
        <f t="shared" si="7"/>
      </c>
      <c r="Z33" s="77">
        <f t="shared" si="8"/>
      </c>
      <c r="AA33" s="77">
        <f t="shared" si="9"/>
      </c>
      <c r="AB33" s="77"/>
      <c r="AC33" s="77">
        <f aca="true" t="shared" si="19" ref="AC33:AC39">RANK(BT33,$BT$32:$BT$43,1)</f>
        <v>7</v>
      </c>
      <c r="AD33" s="77" t="str">
        <f aca="true" t="shared" si="20" ref="AD33:AD39">AD19</f>
        <v>KRM Essen</v>
      </c>
      <c r="AE33" s="77"/>
      <c r="AF33" s="77">
        <f aca="true" t="shared" si="21" ref="AF33:AJ39">AE19+AE8</f>
        <v>0</v>
      </c>
      <c r="AG33" s="77">
        <f t="shared" si="21"/>
        <v>0</v>
      </c>
      <c r="AH33" s="77">
        <f t="shared" si="21"/>
        <v>0</v>
      </c>
      <c r="AI33" s="77">
        <f t="shared" si="21"/>
        <v>0</v>
      </c>
      <c r="AJ33" s="77">
        <f t="shared" si="21"/>
        <v>0</v>
      </c>
      <c r="AK33" s="77">
        <f aca="true" t="shared" si="22" ref="AK33:AK39">AF33*3+AG33*1</f>
        <v>0</v>
      </c>
      <c r="AL33" s="77">
        <f aca="true" t="shared" si="23" ref="AL33:AL39">AK33*99999999+(AI33-AJ33)*888888+AI33*7777</f>
        <v>0</v>
      </c>
      <c r="AM33" s="77">
        <f aca="true" t="shared" si="24" ref="AM33:AM39">RANK(AL33,$AL$32:$AL$43,0)</f>
        <v>1</v>
      </c>
      <c r="AN33" s="77">
        <f>IF(COUNTIF(AM$32:AM33,AM33)&gt;1,1,0)</f>
        <v>1</v>
      </c>
      <c r="AO33" s="77">
        <f aca="true" t="shared" si="25" ref="AO33:AO39">AN33+AL33</f>
        <v>1</v>
      </c>
      <c r="AP33" s="77">
        <f aca="true" t="shared" si="26" ref="AP33:AP39">RANK(AO33,AO$32:AO$43,0)</f>
        <v>1</v>
      </c>
      <c r="AQ33" s="77">
        <f>IF(COUNTIF(AP$32:AP33,AP33)&gt;1,1,0)</f>
        <v>0</v>
      </c>
      <c r="AR33" s="77">
        <f aca="true" t="shared" si="27" ref="AR33:AR39">AQ33+AO33</f>
        <v>1</v>
      </c>
      <c r="AS33" s="77">
        <f aca="true" t="shared" si="28" ref="AS33:AS39">RANK(AR33,AR$32:AR$43,0)</f>
        <v>7</v>
      </c>
      <c r="AT33" s="77">
        <f>IF(COUNTIF(AS$32:AS33,AS33)&gt;1,1,0)</f>
        <v>0</v>
      </c>
      <c r="AU33" s="77">
        <f aca="true" t="shared" si="29" ref="AU33:AU39">AT33+AR33</f>
        <v>1</v>
      </c>
      <c r="AV33" s="77">
        <f aca="true" t="shared" si="30" ref="AV33:AV39">RANK(AU33,AU$32:AU$43,0)</f>
        <v>7</v>
      </c>
      <c r="AW33" s="77">
        <f>IF(COUNTIF(AV$32:AV33,AV33)&gt;1,1,0)</f>
        <v>0</v>
      </c>
      <c r="AX33" s="77">
        <f aca="true" t="shared" si="31" ref="AX33:AX39">AW33+AU33</f>
        <v>1</v>
      </c>
      <c r="AY33" s="77">
        <f aca="true" t="shared" si="32" ref="AY33:AY39">RANK(AX33,AX$32:AX$43,0)</f>
        <v>7</v>
      </c>
      <c r="AZ33" s="77">
        <f>IF(COUNTIF(AY$32:AY33,AY33)&gt;1,1,0)</f>
        <v>0</v>
      </c>
      <c r="BA33" s="77">
        <f aca="true" t="shared" si="33" ref="BA33:BA39">AZ33+AX33</f>
        <v>1</v>
      </c>
      <c r="BB33" s="77">
        <f aca="true" t="shared" si="34" ref="BB33:BB39">RANK(BA33,BA$32:BA$43,0)</f>
        <v>7</v>
      </c>
      <c r="BC33" s="77">
        <f>IF(COUNTIF(BB$32:BB33,BB33)&gt;1,1,0)</f>
        <v>0</v>
      </c>
      <c r="BD33" s="77">
        <f aca="true" t="shared" si="35" ref="BD33:BD39">BC33+BA33</f>
        <v>1</v>
      </c>
      <c r="BE33" s="77">
        <f aca="true" t="shared" si="36" ref="BE33:BE39">RANK(BD33,BD$32:BD$43,0)</f>
        <v>7</v>
      </c>
      <c r="BF33" s="77">
        <f>IF(COUNTIF(BE$32:BE33,BE33)&gt;1,1,0)</f>
        <v>0</v>
      </c>
      <c r="BG33" s="77">
        <f aca="true" t="shared" si="37" ref="BG33:BG39">BF33+BD33</f>
        <v>1</v>
      </c>
      <c r="BH33" s="77">
        <f aca="true" t="shared" si="38" ref="BH33:BH39">RANK(BG33,BG$32:BG$43,0)</f>
        <v>7</v>
      </c>
      <c r="BI33" s="77">
        <f>IF(COUNTIF(BH$32:BH33,BH33)&gt;1,1,0)</f>
        <v>0</v>
      </c>
      <c r="BJ33" s="77">
        <f aca="true" t="shared" si="39" ref="BJ33:BJ39">BI33+BG33</f>
        <v>1</v>
      </c>
      <c r="BK33" s="77">
        <f aca="true" t="shared" si="40" ref="BK33:BK39">RANK(BJ33,BJ$32:BJ$43,0)</f>
        <v>7</v>
      </c>
      <c r="BL33" s="77">
        <f>IF(COUNTIF(BK$32:BK33,BK33)&gt;1,1,0)</f>
        <v>0</v>
      </c>
      <c r="BM33" s="77">
        <f aca="true" t="shared" si="41" ref="BM33:BM39">BL33+BJ33</f>
        <v>1</v>
      </c>
      <c r="BN33" s="77">
        <f aca="true" t="shared" si="42" ref="BN33:BN39">RANK(BM33,BM$32:BM$43,0)</f>
        <v>7</v>
      </c>
      <c r="BO33" s="77">
        <f>IF(COUNTIF(BN$32:BN33,BN33)&gt;1,1,0)</f>
        <v>0</v>
      </c>
      <c r="BP33" s="77">
        <f aca="true" t="shared" si="43" ref="BP33:BP39">BO33+BM33</f>
        <v>1</v>
      </c>
      <c r="BQ33" s="77">
        <f aca="true" t="shared" si="44" ref="BQ33:BQ39">RANK(BP33,BP$32:BP$43,0)</f>
        <v>7</v>
      </c>
      <c r="BR33" s="77">
        <f>IF(COUNTIF(BQ$32:BQ33,BQ33)&gt;1,1,0)</f>
        <v>0</v>
      </c>
      <c r="BS33" s="77">
        <f aca="true" t="shared" si="45" ref="BS33:BS39">BR33+BP33</f>
        <v>1</v>
      </c>
      <c r="BT33" s="77">
        <f aca="true" t="shared" si="46" ref="BT33:BT39">RANK(BS33,BS$32:BS$43,0)</f>
        <v>7</v>
      </c>
      <c r="BU33" s="77"/>
    </row>
    <row r="34" spans="1:73" ht="16.5">
      <c r="A34" s="79">
        <f t="shared" si="18"/>
        <v>54</v>
      </c>
      <c r="B34" s="79" t="s">
        <v>18</v>
      </c>
      <c r="C34" s="79">
        <v>1</v>
      </c>
      <c r="D34" s="80">
        <v>0.562499999999999</v>
      </c>
      <c r="E34" s="79" t="str">
        <f>Saisondaten!B32</f>
        <v>1. MKC Duisburg</v>
      </c>
      <c r="F34" s="79" t="s">
        <v>28</v>
      </c>
      <c r="G34" s="79" t="str">
        <f>Saisondaten!B33</f>
        <v>WSF Liblar</v>
      </c>
      <c r="H34" s="81"/>
      <c r="I34" s="79" t="s">
        <v>28</v>
      </c>
      <c r="J34" s="81"/>
      <c r="K34" s="122" t="str">
        <f>IF(VLOOKUP(A34,Schiedsrichter!$A$3:$I$58,8,FALSE)=0,"-",VLOOKUP(A34,Schiedsrichter!$A$3:$I$58,8,FALSE))</f>
        <v>KP Münster</v>
      </c>
      <c r="L34" s="112" t="s">
        <v>122</v>
      </c>
      <c r="M34" s="125" t="str">
        <f>IF(VLOOKUP(A34,Schiedsrichter!$A$3:$I$58,9,FALSE)=0,"-",VLOOKUP(A34,Schiedsrichter!$A$3:$I$58,9,FALSE))</f>
        <v>KSVH Berlin</v>
      </c>
      <c r="O34" s="77" t="str">
        <f t="shared" si="11"/>
        <v>na</v>
      </c>
      <c r="P34" s="77" t="str">
        <f t="shared" si="15"/>
        <v>1. MKC Duisburg</v>
      </c>
      <c r="Q34" s="77">
        <f t="shared" si="0"/>
      </c>
      <c r="R34" s="77">
        <f t="shared" si="1"/>
      </c>
      <c r="S34" s="77">
        <f t="shared" si="2"/>
      </c>
      <c r="T34" s="77">
        <f t="shared" si="3"/>
      </c>
      <c r="U34" s="77">
        <f t="shared" si="4"/>
      </c>
      <c r="V34" s="77" t="str">
        <f t="shared" si="12"/>
        <v>WSF Liblar</v>
      </c>
      <c r="W34" s="77">
        <f t="shared" si="5"/>
      </c>
      <c r="X34" s="77">
        <f t="shared" si="6"/>
      </c>
      <c r="Y34" s="77">
        <f t="shared" si="7"/>
      </c>
      <c r="Z34" s="77">
        <f t="shared" si="8"/>
      </c>
      <c r="AA34" s="77">
        <f t="shared" si="9"/>
      </c>
      <c r="AB34" s="77"/>
      <c r="AC34" s="77">
        <f t="shared" si="19"/>
        <v>6</v>
      </c>
      <c r="AD34" s="77" t="str">
        <f t="shared" si="20"/>
        <v>PSC Coburg</v>
      </c>
      <c r="AE34" s="77"/>
      <c r="AF34" s="77">
        <f t="shared" si="21"/>
        <v>0</v>
      </c>
      <c r="AG34" s="77">
        <f t="shared" si="21"/>
        <v>0</v>
      </c>
      <c r="AH34" s="77">
        <f t="shared" si="21"/>
        <v>0</v>
      </c>
      <c r="AI34" s="77">
        <f t="shared" si="21"/>
        <v>0</v>
      </c>
      <c r="AJ34" s="77">
        <f t="shared" si="21"/>
        <v>0</v>
      </c>
      <c r="AK34" s="77">
        <f t="shared" si="22"/>
        <v>0</v>
      </c>
      <c r="AL34" s="77">
        <f t="shared" si="23"/>
        <v>0</v>
      </c>
      <c r="AM34" s="77">
        <f t="shared" si="24"/>
        <v>1</v>
      </c>
      <c r="AN34" s="77">
        <f>IF(COUNTIF(AM$32:AM34,AM34)&gt;1,1,0)</f>
        <v>1</v>
      </c>
      <c r="AO34" s="77">
        <f t="shared" si="25"/>
        <v>1</v>
      </c>
      <c r="AP34" s="77">
        <f t="shared" si="26"/>
        <v>1</v>
      </c>
      <c r="AQ34" s="77">
        <f>IF(COUNTIF(AP$32:AP34,AP34)&gt;1,1,0)</f>
        <v>1</v>
      </c>
      <c r="AR34" s="77">
        <f t="shared" si="27"/>
        <v>2</v>
      </c>
      <c r="AS34" s="77">
        <f t="shared" si="28"/>
        <v>1</v>
      </c>
      <c r="AT34" s="77">
        <f>IF(COUNTIF(AS$32:AS34,AS34)&gt;1,1,0)</f>
        <v>0</v>
      </c>
      <c r="AU34" s="77">
        <f t="shared" si="29"/>
        <v>2</v>
      </c>
      <c r="AV34" s="77">
        <f t="shared" si="30"/>
        <v>6</v>
      </c>
      <c r="AW34" s="77">
        <f>IF(COUNTIF(AV$32:AV34,AV34)&gt;1,1,0)</f>
        <v>0</v>
      </c>
      <c r="AX34" s="77">
        <f t="shared" si="31"/>
        <v>2</v>
      </c>
      <c r="AY34" s="77">
        <f t="shared" si="32"/>
        <v>6</v>
      </c>
      <c r="AZ34" s="77">
        <f>IF(COUNTIF(AY$32:AY34,AY34)&gt;1,1,0)</f>
        <v>0</v>
      </c>
      <c r="BA34" s="77">
        <f t="shared" si="33"/>
        <v>2</v>
      </c>
      <c r="BB34" s="77">
        <f t="shared" si="34"/>
        <v>6</v>
      </c>
      <c r="BC34" s="77">
        <f>IF(COUNTIF(BB$32:BB34,BB34)&gt;1,1,0)</f>
        <v>0</v>
      </c>
      <c r="BD34" s="77">
        <f t="shared" si="35"/>
        <v>2</v>
      </c>
      <c r="BE34" s="77">
        <f t="shared" si="36"/>
        <v>6</v>
      </c>
      <c r="BF34" s="77">
        <f>IF(COUNTIF(BE$32:BE34,BE34)&gt;1,1,0)</f>
        <v>0</v>
      </c>
      <c r="BG34" s="77">
        <f t="shared" si="37"/>
        <v>2</v>
      </c>
      <c r="BH34" s="77">
        <f t="shared" si="38"/>
        <v>6</v>
      </c>
      <c r="BI34" s="77">
        <f>IF(COUNTIF(BH$32:BH34,BH34)&gt;1,1,0)</f>
        <v>0</v>
      </c>
      <c r="BJ34" s="77">
        <f t="shared" si="39"/>
        <v>2</v>
      </c>
      <c r="BK34" s="77">
        <f t="shared" si="40"/>
        <v>6</v>
      </c>
      <c r="BL34" s="77">
        <f>IF(COUNTIF(BK$32:BK34,BK34)&gt;1,1,0)</f>
        <v>0</v>
      </c>
      <c r="BM34" s="77">
        <f t="shared" si="41"/>
        <v>2</v>
      </c>
      <c r="BN34" s="77">
        <f t="shared" si="42"/>
        <v>6</v>
      </c>
      <c r="BO34" s="77">
        <f>IF(COUNTIF(BN$32:BN34,BN34)&gt;1,1,0)</f>
        <v>0</v>
      </c>
      <c r="BP34" s="77">
        <f t="shared" si="43"/>
        <v>2</v>
      </c>
      <c r="BQ34" s="77">
        <f t="shared" si="44"/>
        <v>6</v>
      </c>
      <c r="BR34" s="77">
        <f>IF(COUNTIF(BQ$32:BQ34,BQ34)&gt;1,1,0)</f>
        <v>0</v>
      </c>
      <c r="BS34" s="77">
        <f t="shared" si="45"/>
        <v>2</v>
      </c>
      <c r="BT34" s="77">
        <f t="shared" si="46"/>
        <v>6</v>
      </c>
      <c r="BU34" s="77"/>
    </row>
    <row r="35" spans="1:73" ht="16.5">
      <c r="A35" s="66">
        <f t="shared" si="18"/>
        <v>55</v>
      </c>
      <c r="B35" s="66" t="s">
        <v>18</v>
      </c>
      <c r="C35" s="66">
        <v>1</v>
      </c>
      <c r="D35" s="67">
        <v>0.586805555555555</v>
      </c>
      <c r="E35" s="66" t="str">
        <f>Saisondaten!B30</f>
        <v>KRM Essen</v>
      </c>
      <c r="F35" s="66" t="s">
        <v>28</v>
      </c>
      <c r="G35" s="66" t="str">
        <f>Saisondaten!B31</f>
        <v>KCNW Berlin</v>
      </c>
      <c r="H35" s="68"/>
      <c r="I35" s="66" t="s">
        <v>28</v>
      </c>
      <c r="J35" s="68"/>
      <c r="K35" s="127" t="str">
        <f>IF(VLOOKUP(A35,Schiedsrichter!$A$3:$I$58,8,FALSE)=0,"-",VLOOKUP(A35,Schiedsrichter!$A$3:$I$58,8,FALSE))</f>
        <v>WSF Liblar</v>
      </c>
      <c r="L35" s="115" t="s">
        <v>122</v>
      </c>
      <c r="M35" s="130" t="str">
        <f>IF(VLOOKUP(A35,Schiedsrichter!$A$3:$I$58,9,FALSE)=0,"-",VLOOKUP(A35,Schiedsrichter!$A$3:$I$58,9,FALSE))</f>
        <v>1. MKC Duisburg</v>
      </c>
      <c r="O35" s="77" t="str">
        <f t="shared" si="11"/>
        <v>na</v>
      </c>
      <c r="P35" s="77" t="str">
        <f t="shared" si="15"/>
        <v>KRM Essen</v>
      </c>
      <c r="Q35" s="77">
        <f t="shared" si="0"/>
      </c>
      <c r="R35" s="77">
        <f t="shared" si="1"/>
      </c>
      <c r="S35" s="77">
        <f t="shared" si="2"/>
      </c>
      <c r="T35" s="77">
        <f t="shared" si="3"/>
      </c>
      <c r="U35" s="77">
        <f t="shared" si="4"/>
      </c>
      <c r="V35" s="77" t="str">
        <f t="shared" si="12"/>
        <v>KCNW Berlin</v>
      </c>
      <c r="W35" s="77">
        <f t="shared" si="5"/>
      </c>
      <c r="X35" s="77">
        <f t="shared" si="6"/>
      </c>
      <c r="Y35" s="77">
        <f t="shared" si="7"/>
      </c>
      <c r="Z35" s="77">
        <f t="shared" si="8"/>
      </c>
      <c r="AA35" s="77">
        <f t="shared" si="9"/>
      </c>
      <c r="AB35" s="77"/>
      <c r="AC35" s="77">
        <f t="shared" si="19"/>
        <v>5</v>
      </c>
      <c r="AD35" s="77" t="str">
        <f t="shared" si="20"/>
        <v>KCNW Berlin</v>
      </c>
      <c r="AE35" s="77"/>
      <c r="AF35" s="77">
        <f t="shared" si="21"/>
        <v>0</v>
      </c>
      <c r="AG35" s="77">
        <f t="shared" si="21"/>
        <v>0</v>
      </c>
      <c r="AH35" s="77">
        <f t="shared" si="21"/>
        <v>0</v>
      </c>
      <c r="AI35" s="77">
        <f t="shared" si="21"/>
        <v>0</v>
      </c>
      <c r="AJ35" s="77">
        <f t="shared" si="21"/>
        <v>0</v>
      </c>
      <c r="AK35" s="77">
        <f t="shared" si="22"/>
        <v>0</v>
      </c>
      <c r="AL35" s="77">
        <f t="shared" si="23"/>
        <v>0</v>
      </c>
      <c r="AM35" s="77">
        <f t="shared" si="24"/>
        <v>1</v>
      </c>
      <c r="AN35" s="77">
        <f>IF(COUNTIF(AM$32:AM35,AM35)&gt;1,1,0)</f>
        <v>1</v>
      </c>
      <c r="AO35" s="77">
        <f t="shared" si="25"/>
        <v>1</v>
      </c>
      <c r="AP35" s="77">
        <f t="shared" si="26"/>
        <v>1</v>
      </c>
      <c r="AQ35" s="77">
        <f>IF(COUNTIF(AP$32:AP35,AP35)&gt;1,1,0)</f>
        <v>1</v>
      </c>
      <c r="AR35" s="77">
        <f t="shared" si="27"/>
        <v>2</v>
      </c>
      <c r="AS35" s="77">
        <f t="shared" si="28"/>
        <v>1</v>
      </c>
      <c r="AT35" s="77">
        <f>IF(COUNTIF(AS$32:AS35,AS35)&gt;1,1,0)</f>
        <v>1</v>
      </c>
      <c r="AU35" s="77">
        <f t="shared" si="29"/>
        <v>3</v>
      </c>
      <c r="AV35" s="77">
        <f t="shared" si="30"/>
        <v>1</v>
      </c>
      <c r="AW35" s="77">
        <f>IF(COUNTIF(AV$32:AV35,AV35)&gt;1,1,0)</f>
        <v>0</v>
      </c>
      <c r="AX35" s="77">
        <f t="shared" si="31"/>
        <v>3</v>
      </c>
      <c r="AY35" s="77">
        <f t="shared" si="32"/>
        <v>5</v>
      </c>
      <c r="AZ35" s="77">
        <f>IF(COUNTIF(AY$32:AY35,AY35)&gt;1,1,0)</f>
        <v>0</v>
      </c>
      <c r="BA35" s="77">
        <f t="shared" si="33"/>
        <v>3</v>
      </c>
      <c r="BB35" s="77">
        <f t="shared" si="34"/>
        <v>5</v>
      </c>
      <c r="BC35" s="77">
        <f>IF(COUNTIF(BB$32:BB35,BB35)&gt;1,1,0)</f>
        <v>0</v>
      </c>
      <c r="BD35" s="77">
        <f t="shared" si="35"/>
        <v>3</v>
      </c>
      <c r="BE35" s="77">
        <f t="shared" si="36"/>
        <v>5</v>
      </c>
      <c r="BF35" s="77">
        <f>IF(COUNTIF(BE$32:BE35,BE35)&gt;1,1,0)</f>
        <v>0</v>
      </c>
      <c r="BG35" s="77">
        <f t="shared" si="37"/>
        <v>3</v>
      </c>
      <c r="BH35" s="77">
        <f t="shared" si="38"/>
        <v>5</v>
      </c>
      <c r="BI35" s="77">
        <f>IF(COUNTIF(BH$32:BH35,BH35)&gt;1,1,0)</f>
        <v>0</v>
      </c>
      <c r="BJ35" s="77">
        <f t="shared" si="39"/>
        <v>3</v>
      </c>
      <c r="BK35" s="77">
        <f t="shared" si="40"/>
        <v>5</v>
      </c>
      <c r="BL35" s="77">
        <f>IF(COUNTIF(BK$32:BK35,BK35)&gt;1,1,0)</f>
        <v>0</v>
      </c>
      <c r="BM35" s="77">
        <f t="shared" si="41"/>
        <v>3</v>
      </c>
      <c r="BN35" s="77">
        <f t="shared" si="42"/>
        <v>5</v>
      </c>
      <c r="BO35" s="77">
        <f>IF(COUNTIF(BN$32:BN35,BN35)&gt;1,1,0)</f>
        <v>0</v>
      </c>
      <c r="BP35" s="77">
        <f t="shared" si="43"/>
        <v>3</v>
      </c>
      <c r="BQ35" s="77">
        <f t="shared" si="44"/>
        <v>5</v>
      </c>
      <c r="BR35" s="77">
        <f>IF(COUNTIF(BQ$32:BQ35,BQ35)&gt;1,1,0)</f>
        <v>0</v>
      </c>
      <c r="BS35" s="77">
        <f t="shared" si="45"/>
        <v>3</v>
      </c>
      <c r="BT35" s="77">
        <f t="shared" si="46"/>
        <v>5</v>
      </c>
      <c r="BU35" s="77"/>
    </row>
    <row r="36" spans="1:73" ht="16.5">
      <c r="A36" s="85">
        <f t="shared" si="18"/>
        <v>56</v>
      </c>
      <c r="B36" s="85" t="s">
        <v>18</v>
      </c>
      <c r="C36" s="85">
        <v>1</v>
      </c>
      <c r="D36" s="86">
        <v>0.61111111111111</v>
      </c>
      <c r="E36" s="85" t="str">
        <f>Saisondaten!B28</f>
        <v>ACC Hamburg</v>
      </c>
      <c r="F36" s="85" t="s">
        <v>28</v>
      </c>
      <c r="G36" s="85" t="str">
        <f>Saisondaten!B29</f>
        <v>PSC Coburg</v>
      </c>
      <c r="H36" s="87"/>
      <c r="I36" s="85" t="s">
        <v>28</v>
      </c>
      <c r="J36" s="87"/>
      <c r="K36" s="128" t="str">
        <f>IF(VLOOKUP(A36,Schiedsrichter!$A$3:$I$58,8,FALSE)=0,"-",VLOOKUP(A36,Schiedsrichter!$A$3:$I$58,8,FALSE))</f>
        <v>KRM Essen</v>
      </c>
      <c r="L36" s="116" t="s">
        <v>122</v>
      </c>
      <c r="M36" s="131" t="str">
        <f>IF(VLOOKUP(A36,Schiedsrichter!$A$3:$I$58,9,FALSE)=0,"-",VLOOKUP(A36,Schiedsrichter!$A$3:$I$58,9,FALSE))</f>
        <v>KCNW Berlin</v>
      </c>
      <c r="O36" s="77" t="str">
        <f t="shared" si="11"/>
        <v>na</v>
      </c>
      <c r="P36" s="77" t="str">
        <f t="shared" si="15"/>
        <v>ACC Hamburg</v>
      </c>
      <c r="Q36" s="77">
        <f t="shared" si="0"/>
      </c>
      <c r="R36" s="77">
        <f t="shared" si="1"/>
      </c>
      <c r="S36" s="77">
        <f t="shared" si="2"/>
      </c>
      <c r="T36" s="77">
        <f t="shared" si="3"/>
      </c>
      <c r="U36" s="77">
        <f t="shared" si="4"/>
      </c>
      <c r="V36" s="77" t="str">
        <f t="shared" si="12"/>
        <v>PSC Coburg</v>
      </c>
      <c r="W36" s="77">
        <f t="shared" si="5"/>
      </c>
      <c r="X36" s="77">
        <f t="shared" si="6"/>
      </c>
      <c r="Y36" s="77">
        <f t="shared" si="7"/>
      </c>
      <c r="Z36" s="77">
        <f t="shared" si="8"/>
      </c>
      <c r="AA36" s="77">
        <f t="shared" si="9"/>
      </c>
      <c r="AB36" s="77"/>
      <c r="AC36" s="77">
        <f t="shared" si="19"/>
        <v>4</v>
      </c>
      <c r="AD36" s="77" t="str">
        <f t="shared" si="20"/>
        <v>WSF Liblar</v>
      </c>
      <c r="AE36" s="77"/>
      <c r="AF36" s="77">
        <f t="shared" si="21"/>
        <v>0</v>
      </c>
      <c r="AG36" s="77">
        <f t="shared" si="21"/>
        <v>0</v>
      </c>
      <c r="AH36" s="77">
        <f t="shared" si="21"/>
        <v>0</v>
      </c>
      <c r="AI36" s="77">
        <f t="shared" si="21"/>
        <v>0</v>
      </c>
      <c r="AJ36" s="77">
        <f t="shared" si="21"/>
        <v>0</v>
      </c>
      <c r="AK36" s="77">
        <f t="shared" si="22"/>
        <v>0</v>
      </c>
      <c r="AL36" s="77">
        <f t="shared" si="23"/>
        <v>0</v>
      </c>
      <c r="AM36" s="77">
        <f t="shared" si="24"/>
        <v>1</v>
      </c>
      <c r="AN36" s="77">
        <f>IF(COUNTIF(AM$32:AM36,AM36)&gt;1,1,0)</f>
        <v>1</v>
      </c>
      <c r="AO36" s="77">
        <f t="shared" si="25"/>
        <v>1</v>
      </c>
      <c r="AP36" s="77">
        <f t="shared" si="26"/>
        <v>1</v>
      </c>
      <c r="AQ36" s="77">
        <f>IF(COUNTIF(AP$32:AP36,AP36)&gt;1,1,0)</f>
        <v>1</v>
      </c>
      <c r="AR36" s="77">
        <f t="shared" si="27"/>
        <v>2</v>
      </c>
      <c r="AS36" s="77">
        <f t="shared" si="28"/>
        <v>1</v>
      </c>
      <c r="AT36" s="77">
        <f>IF(COUNTIF(AS$32:AS36,AS36)&gt;1,1,0)</f>
        <v>1</v>
      </c>
      <c r="AU36" s="77">
        <f t="shared" si="29"/>
        <v>3</v>
      </c>
      <c r="AV36" s="77">
        <f t="shared" si="30"/>
        <v>1</v>
      </c>
      <c r="AW36" s="77">
        <f>IF(COUNTIF(AV$32:AV36,AV36)&gt;1,1,0)</f>
        <v>1</v>
      </c>
      <c r="AX36" s="77">
        <f t="shared" si="31"/>
        <v>4</v>
      </c>
      <c r="AY36" s="77">
        <f t="shared" si="32"/>
        <v>1</v>
      </c>
      <c r="AZ36" s="77">
        <f>IF(COUNTIF(AY$32:AY36,AY36)&gt;1,1,0)</f>
        <v>0</v>
      </c>
      <c r="BA36" s="77">
        <f t="shared" si="33"/>
        <v>4</v>
      </c>
      <c r="BB36" s="77">
        <f t="shared" si="34"/>
        <v>4</v>
      </c>
      <c r="BC36" s="77">
        <f>IF(COUNTIF(BB$32:BB36,BB36)&gt;1,1,0)</f>
        <v>0</v>
      </c>
      <c r="BD36" s="77">
        <f t="shared" si="35"/>
        <v>4</v>
      </c>
      <c r="BE36" s="77">
        <f t="shared" si="36"/>
        <v>4</v>
      </c>
      <c r="BF36" s="77">
        <f>IF(COUNTIF(BE$32:BE36,BE36)&gt;1,1,0)</f>
        <v>0</v>
      </c>
      <c r="BG36" s="77">
        <f t="shared" si="37"/>
        <v>4</v>
      </c>
      <c r="BH36" s="77">
        <f t="shared" si="38"/>
        <v>4</v>
      </c>
      <c r="BI36" s="77">
        <f>IF(COUNTIF(BH$32:BH36,BH36)&gt;1,1,0)</f>
        <v>0</v>
      </c>
      <c r="BJ36" s="77">
        <f t="shared" si="39"/>
        <v>4</v>
      </c>
      <c r="BK36" s="77">
        <f t="shared" si="40"/>
        <v>4</v>
      </c>
      <c r="BL36" s="77">
        <f>IF(COUNTIF(BK$32:BK36,BK36)&gt;1,1,0)</f>
        <v>0</v>
      </c>
      <c r="BM36" s="77">
        <f t="shared" si="41"/>
        <v>4</v>
      </c>
      <c r="BN36" s="77">
        <f t="shared" si="42"/>
        <v>4</v>
      </c>
      <c r="BO36" s="77">
        <f>IF(COUNTIF(BN$32:BN36,BN36)&gt;1,1,0)</f>
        <v>0</v>
      </c>
      <c r="BP36" s="77">
        <f t="shared" si="43"/>
        <v>4</v>
      </c>
      <c r="BQ36" s="77">
        <f t="shared" si="44"/>
        <v>4</v>
      </c>
      <c r="BR36" s="77">
        <f>IF(COUNTIF(BQ$32:BQ36,BQ36)&gt;1,1,0)</f>
        <v>0</v>
      </c>
      <c r="BS36" s="77">
        <f t="shared" si="45"/>
        <v>4</v>
      </c>
      <c r="BT36" s="77">
        <f t="shared" si="46"/>
        <v>4</v>
      </c>
      <c r="BU36" s="77"/>
    </row>
    <row r="37" spans="4:73" ht="16.5">
      <c r="D37" s="2"/>
      <c r="L37" s="3"/>
      <c r="O37" s="77"/>
      <c r="P37" s="77"/>
      <c r="Q37" s="77"/>
      <c r="R37" s="77"/>
      <c r="S37" s="77"/>
      <c r="T37" s="77"/>
      <c r="U37" s="77"/>
      <c r="V37" s="77"/>
      <c r="W37" s="77">
        <f t="shared" si="5"/>
      </c>
      <c r="X37" s="77">
        <f t="shared" si="6"/>
      </c>
      <c r="Y37" s="77">
        <f t="shared" si="7"/>
      </c>
      <c r="Z37" s="77">
        <f t="shared" si="8"/>
      </c>
      <c r="AA37" s="77">
        <f t="shared" si="9"/>
      </c>
      <c r="AB37" s="77"/>
      <c r="AC37" s="77">
        <f t="shared" si="19"/>
        <v>3</v>
      </c>
      <c r="AD37" s="77" t="str">
        <f t="shared" si="20"/>
        <v>KSVH Berlin</v>
      </c>
      <c r="AE37" s="77"/>
      <c r="AF37" s="77">
        <f t="shared" si="21"/>
        <v>0</v>
      </c>
      <c r="AG37" s="77">
        <f t="shared" si="21"/>
        <v>0</v>
      </c>
      <c r="AH37" s="77">
        <f t="shared" si="21"/>
        <v>0</v>
      </c>
      <c r="AI37" s="77">
        <f t="shared" si="21"/>
        <v>0</v>
      </c>
      <c r="AJ37" s="77">
        <f t="shared" si="21"/>
        <v>0</v>
      </c>
      <c r="AK37" s="77">
        <f t="shared" si="22"/>
        <v>0</v>
      </c>
      <c r="AL37" s="77">
        <f t="shared" si="23"/>
        <v>0</v>
      </c>
      <c r="AM37" s="77">
        <f t="shared" si="24"/>
        <v>1</v>
      </c>
      <c r="AN37" s="77">
        <f>IF(COUNTIF(AM$32:AM37,AM37)&gt;1,1,0)</f>
        <v>1</v>
      </c>
      <c r="AO37" s="77">
        <f t="shared" si="25"/>
        <v>1</v>
      </c>
      <c r="AP37" s="77">
        <f t="shared" si="26"/>
        <v>1</v>
      </c>
      <c r="AQ37" s="77">
        <f>IF(COUNTIF(AP$32:AP37,AP37)&gt;1,1,0)</f>
        <v>1</v>
      </c>
      <c r="AR37" s="77">
        <f t="shared" si="27"/>
        <v>2</v>
      </c>
      <c r="AS37" s="77">
        <f t="shared" si="28"/>
        <v>1</v>
      </c>
      <c r="AT37" s="77">
        <f>IF(COUNTIF(AS$32:AS37,AS37)&gt;1,1,0)</f>
        <v>1</v>
      </c>
      <c r="AU37" s="77">
        <f t="shared" si="29"/>
        <v>3</v>
      </c>
      <c r="AV37" s="77">
        <f t="shared" si="30"/>
        <v>1</v>
      </c>
      <c r="AW37" s="77">
        <f>IF(COUNTIF(AV$32:AV37,AV37)&gt;1,1,0)</f>
        <v>1</v>
      </c>
      <c r="AX37" s="77">
        <f t="shared" si="31"/>
        <v>4</v>
      </c>
      <c r="AY37" s="77">
        <f t="shared" si="32"/>
        <v>1</v>
      </c>
      <c r="AZ37" s="77">
        <f>IF(COUNTIF(AY$32:AY37,AY37)&gt;1,1,0)</f>
        <v>1</v>
      </c>
      <c r="BA37" s="77">
        <f t="shared" si="33"/>
        <v>5</v>
      </c>
      <c r="BB37" s="77">
        <f t="shared" si="34"/>
        <v>1</v>
      </c>
      <c r="BC37" s="77">
        <f>IF(COUNTIF(BB$32:BB37,BB37)&gt;1,1,0)</f>
        <v>0</v>
      </c>
      <c r="BD37" s="77">
        <f t="shared" si="35"/>
        <v>5</v>
      </c>
      <c r="BE37" s="77">
        <f t="shared" si="36"/>
        <v>3</v>
      </c>
      <c r="BF37" s="77">
        <f>IF(COUNTIF(BE$32:BE37,BE37)&gt;1,1,0)</f>
        <v>0</v>
      </c>
      <c r="BG37" s="77">
        <f t="shared" si="37"/>
        <v>5</v>
      </c>
      <c r="BH37" s="77">
        <f t="shared" si="38"/>
        <v>3</v>
      </c>
      <c r="BI37" s="77">
        <f>IF(COUNTIF(BH$32:BH37,BH37)&gt;1,1,0)</f>
        <v>0</v>
      </c>
      <c r="BJ37" s="77">
        <f t="shared" si="39"/>
        <v>5</v>
      </c>
      <c r="BK37" s="77">
        <f t="shared" si="40"/>
        <v>3</v>
      </c>
      <c r="BL37" s="77">
        <f>IF(COUNTIF(BK$32:BK37,BK37)&gt;1,1,0)</f>
        <v>0</v>
      </c>
      <c r="BM37" s="77">
        <f t="shared" si="41"/>
        <v>5</v>
      </c>
      <c r="BN37" s="77">
        <f t="shared" si="42"/>
        <v>3</v>
      </c>
      <c r="BO37" s="77">
        <f>IF(COUNTIF(BN$32:BN37,BN37)&gt;1,1,0)</f>
        <v>0</v>
      </c>
      <c r="BP37" s="77">
        <f t="shared" si="43"/>
        <v>5</v>
      </c>
      <c r="BQ37" s="77">
        <f t="shared" si="44"/>
        <v>3</v>
      </c>
      <c r="BR37" s="77">
        <f>IF(COUNTIF(BQ$32:BQ37,BQ37)&gt;1,1,0)</f>
        <v>0</v>
      </c>
      <c r="BS37" s="77">
        <f t="shared" si="45"/>
        <v>5</v>
      </c>
      <c r="BT37" s="77">
        <f t="shared" si="46"/>
        <v>3</v>
      </c>
      <c r="BU37" s="77"/>
    </row>
    <row r="38" spans="1:73" ht="7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>
        <f t="shared" si="19"/>
        <v>2</v>
      </c>
      <c r="AD38" s="77" t="str">
        <f t="shared" si="20"/>
        <v>1. MKC Duisburg</v>
      </c>
      <c r="AE38" s="77"/>
      <c r="AF38" s="77">
        <f t="shared" si="21"/>
        <v>0</v>
      </c>
      <c r="AG38" s="77">
        <f t="shared" si="21"/>
        <v>0</v>
      </c>
      <c r="AH38" s="77">
        <f t="shared" si="21"/>
        <v>0</v>
      </c>
      <c r="AI38" s="77">
        <f t="shared" si="21"/>
        <v>0</v>
      </c>
      <c r="AJ38" s="77">
        <f t="shared" si="21"/>
        <v>0</v>
      </c>
      <c r="AK38" s="77">
        <f t="shared" si="22"/>
        <v>0</v>
      </c>
      <c r="AL38" s="77">
        <f t="shared" si="23"/>
        <v>0</v>
      </c>
      <c r="AM38" s="77">
        <f t="shared" si="24"/>
        <v>1</v>
      </c>
      <c r="AN38" s="77">
        <f>IF(COUNTIF(AM$32:AM38,AM38)&gt;1,1,0)</f>
        <v>1</v>
      </c>
      <c r="AO38" s="77">
        <f t="shared" si="25"/>
        <v>1</v>
      </c>
      <c r="AP38" s="77">
        <f t="shared" si="26"/>
        <v>1</v>
      </c>
      <c r="AQ38" s="77">
        <f>IF(COUNTIF(AP$32:AP38,AP38)&gt;1,1,0)</f>
        <v>1</v>
      </c>
      <c r="AR38" s="77">
        <f t="shared" si="27"/>
        <v>2</v>
      </c>
      <c r="AS38" s="77">
        <f t="shared" si="28"/>
        <v>1</v>
      </c>
      <c r="AT38" s="77">
        <f>IF(COUNTIF(AS$32:AS38,AS38)&gt;1,1,0)</f>
        <v>1</v>
      </c>
      <c r="AU38" s="77">
        <f t="shared" si="29"/>
        <v>3</v>
      </c>
      <c r="AV38" s="77">
        <f t="shared" si="30"/>
        <v>1</v>
      </c>
      <c r="AW38" s="77">
        <f>IF(COUNTIF(AV$32:AV38,AV38)&gt;1,1,0)</f>
        <v>1</v>
      </c>
      <c r="AX38" s="77">
        <f t="shared" si="31"/>
        <v>4</v>
      </c>
      <c r="AY38" s="77">
        <f t="shared" si="32"/>
        <v>1</v>
      </c>
      <c r="AZ38" s="77">
        <f>IF(COUNTIF(AY$32:AY38,AY38)&gt;1,1,0)</f>
        <v>1</v>
      </c>
      <c r="BA38" s="77">
        <f t="shared" si="33"/>
        <v>5</v>
      </c>
      <c r="BB38" s="77">
        <f t="shared" si="34"/>
        <v>1</v>
      </c>
      <c r="BC38" s="77">
        <f>IF(COUNTIF(BB$32:BB38,BB38)&gt;1,1,0)</f>
        <v>1</v>
      </c>
      <c r="BD38" s="77">
        <f t="shared" si="35"/>
        <v>6</v>
      </c>
      <c r="BE38" s="77">
        <f t="shared" si="36"/>
        <v>1</v>
      </c>
      <c r="BF38" s="77">
        <f>IF(COUNTIF(BE$32:BE38,BE38)&gt;1,1,0)</f>
        <v>0</v>
      </c>
      <c r="BG38" s="77">
        <f t="shared" si="37"/>
        <v>6</v>
      </c>
      <c r="BH38" s="77">
        <f t="shared" si="38"/>
        <v>2</v>
      </c>
      <c r="BI38" s="77">
        <f>IF(COUNTIF(BH$32:BH38,BH38)&gt;1,1,0)</f>
        <v>0</v>
      </c>
      <c r="BJ38" s="77">
        <f t="shared" si="39"/>
        <v>6</v>
      </c>
      <c r="BK38" s="77">
        <f t="shared" si="40"/>
        <v>2</v>
      </c>
      <c r="BL38" s="77">
        <f>IF(COUNTIF(BK$32:BK38,BK38)&gt;1,1,0)</f>
        <v>0</v>
      </c>
      <c r="BM38" s="77">
        <f t="shared" si="41"/>
        <v>6</v>
      </c>
      <c r="BN38" s="77">
        <f t="shared" si="42"/>
        <v>2</v>
      </c>
      <c r="BO38" s="77">
        <f>IF(COUNTIF(BN$32:BN38,BN38)&gt;1,1,0)</f>
        <v>0</v>
      </c>
      <c r="BP38" s="77">
        <f t="shared" si="43"/>
        <v>6</v>
      </c>
      <c r="BQ38" s="77">
        <f t="shared" si="44"/>
        <v>2</v>
      </c>
      <c r="BR38" s="77">
        <f>IF(COUNTIF(BQ$32:BQ38,BQ38)&gt;1,1,0)</f>
        <v>0</v>
      </c>
      <c r="BS38" s="77">
        <f t="shared" si="45"/>
        <v>6</v>
      </c>
      <c r="BT38" s="77">
        <f t="shared" si="46"/>
        <v>2</v>
      </c>
      <c r="BU38" s="77"/>
    </row>
    <row r="39" spans="12:73" ht="16.5">
      <c r="L39" s="3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>
        <f t="shared" si="19"/>
        <v>1</v>
      </c>
      <c r="AD39" s="77" t="str">
        <f t="shared" si="20"/>
        <v>KP Münster</v>
      </c>
      <c r="AE39" s="77"/>
      <c r="AF39" s="77">
        <f t="shared" si="21"/>
        <v>0</v>
      </c>
      <c r="AG39" s="77">
        <f t="shared" si="21"/>
        <v>0</v>
      </c>
      <c r="AH39" s="77">
        <f t="shared" si="21"/>
        <v>0</v>
      </c>
      <c r="AI39" s="77">
        <f t="shared" si="21"/>
        <v>0</v>
      </c>
      <c r="AJ39" s="77">
        <f t="shared" si="21"/>
        <v>0</v>
      </c>
      <c r="AK39" s="77">
        <f t="shared" si="22"/>
        <v>0</v>
      </c>
      <c r="AL39" s="77">
        <f t="shared" si="23"/>
        <v>0</v>
      </c>
      <c r="AM39" s="77">
        <f t="shared" si="24"/>
        <v>1</v>
      </c>
      <c r="AN39" s="77">
        <f>IF(COUNTIF(AM$32:AM39,AM39)&gt;1,1,0)</f>
        <v>1</v>
      </c>
      <c r="AO39" s="77">
        <f t="shared" si="25"/>
        <v>1</v>
      </c>
      <c r="AP39" s="77">
        <f t="shared" si="26"/>
        <v>1</v>
      </c>
      <c r="AQ39" s="77">
        <f>IF(COUNTIF(AP$32:AP39,AP39)&gt;1,1,0)</f>
        <v>1</v>
      </c>
      <c r="AR39" s="77">
        <f t="shared" si="27"/>
        <v>2</v>
      </c>
      <c r="AS39" s="77">
        <f t="shared" si="28"/>
        <v>1</v>
      </c>
      <c r="AT39" s="77">
        <f>IF(COUNTIF(AS$32:AS39,AS39)&gt;1,1,0)</f>
        <v>1</v>
      </c>
      <c r="AU39" s="77">
        <f t="shared" si="29"/>
        <v>3</v>
      </c>
      <c r="AV39" s="77">
        <f t="shared" si="30"/>
        <v>1</v>
      </c>
      <c r="AW39" s="77">
        <f>IF(COUNTIF(AV$32:AV39,AV39)&gt;1,1,0)</f>
        <v>1</v>
      </c>
      <c r="AX39" s="77">
        <f t="shared" si="31"/>
        <v>4</v>
      </c>
      <c r="AY39" s="77">
        <f t="shared" si="32"/>
        <v>1</v>
      </c>
      <c r="AZ39" s="77">
        <f>IF(COUNTIF(AY$32:AY39,AY39)&gt;1,1,0)</f>
        <v>1</v>
      </c>
      <c r="BA39" s="77">
        <f t="shared" si="33"/>
        <v>5</v>
      </c>
      <c r="BB39" s="77">
        <f t="shared" si="34"/>
        <v>1</v>
      </c>
      <c r="BC39" s="77">
        <f>IF(COUNTIF(BB$32:BB39,BB39)&gt;1,1,0)</f>
        <v>1</v>
      </c>
      <c r="BD39" s="77">
        <f t="shared" si="35"/>
        <v>6</v>
      </c>
      <c r="BE39" s="77">
        <f t="shared" si="36"/>
        <v>1</v>
      </c>
      <c r="BF39" s="77">
        <f>IF(COUNTIF(BE$32:BE39,BE39)&gt;1,1,0)</f>
        <v>1</v>
      </c>
      <c r="BG39" s="77">
        <f t="shared" si="37"/>
        <v>7</v>
      </c>
      <c r="BH39" s="77">
        <f t="shared" si="38"/>
        <v>1</v>
      </c>
      <c r="BI39" s="77">
        <f>IF(COUNTIF(BH$32:BH39,BH39)&gt;1,1,0)</f>
        <v>0</v>
      </c>
      <c r="BJ39" s="77">
        <f t="shared" si="39"/>
        <v>7</v>
      </c>
      <c r="BK39" s="77">
        <f t="shared" si="40"/>
        <v>1</v>
      </c>
      <c r="BL39" s="77">
        <f>IF(COUNTIF(BK$32:BK39,BK39)&gt;1,1,0)</f>
        <v>0</v>
      </c>
      <c r="BM39" s="77">
        <f t="shared" si="41"/>
        <v>7</v>
      </c>
      <c r="BN39" s="77">
        <f t="shared" si="42"/>
        <v>1</v>
      </c>
      <c r="BO39" s="77">
        <f>IF(COUNTIF(BN$32:BN39,BN39)&gt;1,1,0)</f>
        <v>0</v>
      </c>
      <c r="BP39" s="77">
        <f t="shared" si="43"/>
        <v>7</v>
      </c>
      <c r="BQ39" s="77">
        <f t="shared" si="44"/>
        <v>1</v>
      </c>
      <c r="BR39" s="77">
        <f>IF(COUNTIF(BQ$32:BQ39,BQ39)&gt;1,1,0)</f>
        <v>0</v>
      </c>
      <c r="BS39" s="77">
        <f t="shared" si="45"/>
        <v>7</v>
      </c>
      <c r="BT39" s="77">
        <f t="shared" si="46"/>
        <v>1</v>
      </c>
      <c r="BU39" s="77"/>
    </row>
    <row r="40" spans="15:73" ht="16.5"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</row>
  </sheetData>
  <sheetProtection selectLockedCells="1"/>
  <mergeCells count="8">
    <mergeCell ref="A24:M24"/>
    <mergeCell ref="AL31:AO31"/>
    <mergeCell ref="A1:M1"/>
    <mergeCell ref="A3:M3"/>
    <mergeCell ref="A5:M5"/>
    <mergeCell ref="E6:G6"/>
    <mergeCell ref="H6:J6"/>
    <mergeCell ref="K6:M6"/>
  </mergeCells>
  <printOptions horizontalCentered="1"/>
  <pageMargins left="0.2362204724409449" right="0.2362204724409449" top="0.35433070866141736" bottom="0.7480314960629921" header="0.31496062992125984" footer="0.31496062992125984"/>
  <pageSetup fitToHeight="1" fitToWidth="1" horizontalDpi="600" verticalDpi="600" orientation="portrait" paperSize="9" r:id="rId3"/>
  <headerFooter>
    <oddFooter>&amp;L&amp;"Century Gothic,Standard"&amp;12bundesliga.kanupolo.de&amp;C&amp;G&amp;R&amp;"Century Gothic,Standard"&amp;12Stand:  &amp;D, &amp;T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U86"/>
  <sheetViews>
    <sheetView zoomScalePageLayoutView="0" workbookViewId="0" topLeftCell="A1">
      <selection activeCell="H5" sqref="H5:I6"/>
    </sheetView>
  </sheetViews>
  <sheetFormatPr defaultColWidth="11.421875" defaultRowHeight="15"/>
  <cols>
    <col min="1" max="2" width="9.421875" style="18" customWidth="1"/>
    <col min="3" max="3" width="6.00390625" style="18" bestFit="1" customWidth="1"/>
    <col min="4" max="4" width="16.8515625" style="18" customWidth="1"/>
    <col min="5" max="5" width="1.57421875" style="31" bestFit="1" customWidth="1"/>
    <col min="6" max="6" width="16.8515625" style="18" customWidth="1"/>
    <col min="7" max="7" width="1.1484375" style="18" customWidth="1"/>
    <col min="8" max="9" width="18.8515625" style="34" customWidth="1"/>
    <col min="10" max="10" width="7.7109375" style="34" bestFit="1" customWidth="1"/>
    <col min="11" max="11" width="1.1484375" style="34" customWidth="1"/>
    <col min="12" max="15" width="17.00390625" style="34" customWidth="1"/>
    <col min="16" max="16" width="1.1484375" style="34" customWidth="1"/>
    <col min="17" max="19" width="17.8515625" style="34" customWidth="1"/>
    <col min="20" max="20" width="1.1484375" style="34" customWidth="1"/>
    <col min="21" max="21" width="14.00390625" style="34" customWidth="1"/>
    <col min="22" max="16384" width="11.421875" style="18" customWidth="1"/>
  </cols>
  <sheetData>
    <row r="1" spans="1:21" ht="16.5">
      <c r="A1" s="237" t="s">
        <v>98</v>
      </c>
      <c r="B1" s="39"/>
      <c r="C1" s="237" t="s">
        <v>25</v>
      </c>
      <c r="D1" s="236" t="s">
        <v>109</v>
      </c>
      <c r="E1" s="236"/>
      <c r="F1" s="236"/>
      <c r="G1" s="40"/>
      <c r="H1" s="236" t="s">
        <v>110</v>
      </c>
      <c r="I1" s="236"/>
      <c r="J1" s="40" t="s">
        <v>111</v>
      </c>
      <c r="K1" s="40"/>
      <c r="L1" s="236" t="s">
        <v>107</v>
      </c>
      <c r="M1" s="236"/>
      <c r="N1" s="236"/>
      <c r="O1" s="236"/>
      <c r="P1" s="40"/>
      <c r="Q1" s="236" t="s">
        <v>108</v>
      </c>
      <c r="R1" s="236"/>
      <c r="S1" s="236"/>
      <c r="T1" s="40"/>
      <c r="U1" s="40"/>
    </row>
    <row r="2" spans="1:21" s="35" customFormat="1" ht="16.5">
      <c r="A2" s="238"/>
      <c r="B2" s="41" t="s">
        <v>0</v>
      </c>
      <c r="C2" s="238"/>
      <c r="D2" s="41" t="s">
        <v>99</v>
      </c>
      <c r="E2" s="41" t="s">
        <v>28</v>
      </c>
      <c r="F2" s="41" t="s">
        <v>100</v>
      </c>
      <c r="G2" s="40"/>
      <c r="H2" s="41" t="s">
        <v>107</v>
      </c>
      <c r="I2" s="41" t="s">
        <v>108</v>
      </c>
      <c r="J2" s="41"/>
      <c r="K2" s="40"/>
      <c r="L2" s="41" t="s">
        <v>101</v>
      </c>
      <c r="M2" s="41" t="s">
        <v>102</v>
      </c>
      <c r="N2" s="41" t="s">
        <v>103</v>
      </c>
      <c r="O2" s="41" t="s">
        <v>104</v>
      </c>
      <c r="P2" s="40"/>
      <c r="Q2" s="41" t="s">
        <v>105</v>
      </c>
      <c r="R2" s="41" t="s">
        <v>106</v>
      </c>
      <c r="S2" s="41" t="s">
        <v>113</v>
      </c>
      <c r="T2" s="40"/>
      <c r="U2" s="41" t="s">
        <v>112</v>
      </c>
    </row>
    <row r="3" spans="1:21" ht="16.5">
      <c r="A3" s="18">
        <f>SpieleDB!A2</f>
        <v>1</v>
      </c>
      <c r="B3" s="38">
        <f>SpieleDB!J2</f>
        <v>43596</v>
      </c>
      <c r="C3" s="36">
        <f>SpieleDB!D2</f>
        <v>0.3541666666666667</v>
      </c>
      <c r="D3" s="18" t="str">
        <f>SpieleDB!F2</f>
        <v>ACC Hamburg</v>
      </c>
      <c r="E3" s="31" t="s">
        <v>28</v>
      </c>
      <c r="F3" s="18" t="str">
        <f>SpieleDB!G2</f>
        <v>KP Münster</v>
      </c>
      <c r="H3" s="69" t="str">
        <f>Saisondaten!B17</f>
        <v>KRM Essen</v>
      </c>
      <c r="I3" s="69" t="str">
        <f>Saisondaten!B22</f>
        <v>1. MKC Duisburg</v>
      </c>
      <c r="J3" s="34" t="str">
        <f aca="true" t="shared" si="0" ref="J3:J30">IF(OR(OR(H3="",D3=H3),OR(I3="",F3=I3)),"nein","ja")</f>
        <v>ja</v>
      </c>
      <c r="L3" s="69"/>
      <c r="M3" s="69"/>
      <c r="N3" s="69"/>
      <c r="O3" s="69"/>
      <c r="Q3" s="69"/>
      <c r="R3" s="69"/>
      <c r="S3" s="69"/>
      <c r="U3" s="69"/>
    </row>
    <row r="4" spans="1:21" ht="16.5">
      <c r="A4" s="18">
        <f>SpieleDB!A3</f>
        <v>2</v>
      </c>
      <c r="B4" s="38">
        <f>SpieleDB!J3</f>
        <v>43596</v>
      </c>
      <c r="C4" s="36">
        <f>SpieleDB!D3</f>
        <v>0.3541666666666667</v>
      </c>
      <c r="D4" s="18" t="str">
        <f>SpieleDB!F3</f>
        <v>PSC Coburg</v>
      </c>
      <c r="E4" s="31" t="s">
        <v>28</v>
      </c>
      <c r="F4" s="18" t="str">
        <f>SpieleDB!G3</f>
        <v>KSVH Berlin</v>
      </c>
      <c r="H4" s="69" t="str">
        <f>Saisondaten!B19</f>
        <v>KCNW Berlin</v>
      </c>
      <c r="I4" s="69" t="str">
        <f>Saisondaten!B20</f>
        <v>WSF Liblar</v>
      </c>
      <c r="J4" s="34" t="str">
        <f t="shared" si="0"/>
        <v>ja</v>
      </c>
      <c r="L4" s="69"/>
      <c r="M4" s="69"/>
      <c r="N4" s="69"/>
      <c r="O4" s="69"/>
      <c r="Q4" s="69"/>
      <c r="R4" s="69"/>
      <c r="S4" s="69"/>
      <c r="U4" s="69"/>
    </row>
    <row r="5" spans="1:21" ht="16.5">
      <c r="A5" s="18">
        <f>SpieleDB!A4</f>
        <v>3</v>
      </c>
      <c r="B5" s="38">
        <f>SpieleDB!J4</f>
        <v>43596</v>
      </c>
      <c r="C5" s="36">
        <f>SpieleDB!D4</f>
        <v>0.3854166666666667</v>
      </c>
      <c r="D5" s="18" t="str">
        <f>SpieleDB!F4</f>
        <v>KRM Essen</v>
      </c>
      <c r="E5" s="31" t="s">
        <v>28</v>
      </c>
      <c r="F5" s="18" t="str">
        <f>SpieleDB!G4</f>
        <v>1. MKC Duisburg</v>
      </c>
      <c r="H5" s="69" t="str">
        <f>Saisondaten!B16</f>
        <v>ACC Hamburg</v>
      </c>
      <c r="I5" s="69" t="str">
        <f>Saisondaten!B23</f>
        <v>KP Münster</v>
      </c>
      <c r="J5" s="34" t="str">
        <f t="shared" si="0"/>
        <v>ja</v>
      </c>
      <c r="L5" s="69"/>
      <c r="M5" s="69"/>
      <c r="N5" s="69"/>
      <c r="O5" s="69"/>
      <c r="Q5" s="69"/>
      <c r="R5" s="69"/>
      <c r="S5" s="69"/>
      <c r="U5" s="69"/>
    </row>
    <row r="6" spans="1:21" ht="16.5">
      <c r="A6" s="18">
        <f>SpieleDB!A5</f>
        <v>4</v>
      </c>
      <c r="B6" s="38">
        <f>SpieleDB!J5</f>
        <v>43596</v>
      </c>
      <c r="C6" s="36">
        <f>SpieleDB!D5</f>
        <v>0.3854166666666667</v>
      </c>
      <c r="D6" s="18" t="str">
        <f>SpieleDB!F5</f>
        <v>KCNW Berlin</v>
      </c>
      <c r="E6" s="31" t="s">
        <v>28</v>
      </c>
      <c r="F6" s="18" t="str">
        <f>SpieleDB!G5</f>
        <v>WSF Liblar</v>
      </c>
      <c r="H6" s="69" t="str">
        <f>Saisondaten!B18</f>
        <v>PSC Coburg</v>
      </c>
      <c r="I6" s="69" t="str">
        <f>Saisondaten!B21</f>
        <v>KSVH Berlin</v>
      </c>
      <c r="J6" s="34" t="str">
        <f t="shared" si="0"/>
        <v>ja</v>
      </c>
      <c r="L6" s="69"/>
      <c r="M6" s="69"/>
      <c r="N6" s="69"/>
      <c r="O6" s="69"/>
      <c r="Q6" s="69"/>
      <c r="R6" s="69"/>
      <c r="S6" s="69"/>
      <c r="U6" s="69"/>
    </row>
    <row r="7" spans="1:21" ht="16.5">
      <c r="A7" s="18">
        <f>SpieleDB!A6</f>
        <v>5</v>
      </c>
      <c r="B7" s="38">
        <f>SpieleDB!J6</f>
        <v>43596</v>
      </c>
      <c r="C7" s="36">
        <f>SpieleDB!D6</f>
        <v>0.4166666666666667</v>
      </c>
      <c r="D7" s="18" t="str">
        <f>SpieleDB!F6</f>
        <v>PSC Coburg</v>
      </c>
      <c r="E7" s="31" t="s">
        <v>28</v>
      </c>
      <c r="F7" s="18" t="str">
        <f>SpieleDB!G6</f>
        <v>KP Münster</v>
      </c>
      <c r="H7" s="69" t="str">
        <f>Saisondaten!B16</f>
        <v>ACC Hamburg</v>
      </c>
      <c r="I7" s="69" t="str">
        <f>Saisondaten!B19</f>
        <v>KCNW Berlin</v>
      </c>
      <c r="J7" s="34" t="str">
        <f t="shared" si="0"/>
        <v>ja</v>
      </c>
      <c r="L7" s="69"/>
      <c r="M7" s="69"/>
      <c r="N7" s="69"/>
      <c r="O7" s="69"/>
      <c r="Q7" s="69"/>
      <c r="R7" s="69"/>
      <c r="S7" s="69"/>
      <c r="U7" s="69"/>
    </row>
    <row r="8" spans="1:21" ht="16.5">
      <c r="A8" s="18">
        <f>SpieleDB!A7</f>
        <v>6</v>
      </c>
      <c r="B8" s="38">
        <f>SpieleDB!J7</f>
        <v>43596</v>
      </c>
      <c r="C8" s="36">
        <f>SpieleDB!D7</f>
        <v>0.4479166666666667</v>
      </c>
      <c r="D8" s="18" t="str">
        <f>SpieleDB!F7</f>
        <v>KSVH Berlin</v>
      </c>
      <c r="E8" s="31" t="s">
        <v>28</v>
      </c>
      <c r="F8" s="18" t="str">
        <f>SpieleDB!G7</f>
        <v>1. MKC Duisburg</v>
      </c>
      <c r="H8" s="69" t="str">
        <f>Saisondaten!B20</f>
        <v>WSF Liblar</v>
      </c>
      <c r="I8" s="69" t="str">
        <f>Saisondaten!B17</f>
        <v>KRM Essen</v>
      </c>
      <c r="J8" s="34" t="str">
        <f t="shared" si="0"/>
        <v>ja</v>
      </c>
      <c r="L8" s="69"/>
      <c r="M8" s="69"/>
      <c r="N8" s="69"/>
      <c r="O8" s="69"/>
      <c r="Q8" s="69"/>
      <c r="R8" s="69"/>
      <c r="S8" s="69"/>
      <c r="U8" s="69"/>
    </row>
    <row r="9" spans="1:21" ht="16.5">
      <c r="A9" s="18">
        <f>SpieleDB!A8</f>
        <v>7</v>
      </c>
      <c r="B9" s="38">
        <f>SpieleDB!J8</f>
        <v>43596</v>
      </c>
      <c r="C9" s="36">
        <f>SpieleDB!D8</f>
        <v>0.4791666666666667</v>
      </c>
      <c r="D9" s="18" t="str">
        <f>SpieleDB!F8</f>
        <v>ACC Hamburg</v>
      </c>
      <c r="E9" s="31" t="s">
        <v>28</v>
      </c>
      <c r="F9" s="18" t="str">
        <f>SpieleDB!G8</f>
        <v>KCNW Berlin</v>
      </c>
      <c r="H9" s="69" t="str">
        <f>Saisondaten!B21</f>
        <v>KSVH Berlin</v>
      </c>
      <c r="I9" s="69" t="str">
        <f>Saisondaten!B22</f>
        <v>1. MKC Duisburg</v>
      </c>
      <c r="J9" s="34" t="str">
        <f t="shared" si="0"/>
        <v>ja</v>
      </c>
      <c r="L9" s="69"/>
      <c r="M9" s="69"/>
      <c r="N9" s="69"/>
      <c r="O9" s="69"/>
      <c r="Q9" s="69"/>
      <c r="R9" s="69"/>
      <c r="S9" s="69"/>
      <c r="U9" s="69"/>
    </row>
    <row r="10" spans="1:21" ht="16.5">
      <c r="A10" s="18">
        <f>SpieleDB!A9</f>
        <v>8</v>
      </c>
      <c r="B10" s="38">
        <f>SpieleDB!J9</f>
        <v>43596</v>
      </c>
      <c r="C10" s="36">
        <f>SpieleDB!D9</f>
        <v>0.5104166666666667</v>
      </c>
      <c r="D10" s="18" t="str">
        <f>SpieleDB!F9</f>
        <v>KRM Essen</v>
      </c>
      <c r="E10" s="31" t="s">
        <v>28</v>
      </c>
      <c r="F10" s="18" t="str">
        <f>SpieleDB!G9</f>
        <v>WSF Liblar</v>
      </c>
      <c r="H10" s="69" t="str">
        <f>Saisondaten!B23</f>
        <v>KP Münster</v>
      </c>
      <c r="I10" s="69" t="str">
        <f>Saisondaten!B18</f>
        <v>PSC Coburg</v>
      </c>
      <c r="J10" s="34" t="str">
        <f t="shared" si="0"/>
        <v>ja</v>
      </c>
      <c r="L10" s="69"/>
      <c r="M10" s="69"/>
      <c r="N10" s="69"/>
      <c r="O10" s="69"/>
      <c r="Q10" s="69"/>
      <c r="R10" s="69"/>
      <c r="S10" s="69"/>
      <c r="U10" s="69"/>
    </row>
    <row r="11" spans="1:21" ht="16.5">
      <c r="A11" s="18">
        <f>SpieleDB!A10</f>
        <v>9</v>
      </c>
      <c r="B11" s="38">
        <f>SpieleDB!J10</f>
        <v>43596</v>
      </c>
      <c r="C11" s="36">
        <f>SpieleDB!D10</f>
        <v>0.5416666666666667</v>
      </c>
      <c r="D11" s="18" t="str">
        <f>SpieleDB!F10</f>
        <v>KCNW Berlin</v>
      </c>
      <c r="E11" s="31" t="s">
        <v>28</v>
      </c>
      <c r="F11" s="18" t="str">
        <f>SpieleDB!G10</f>
        <v>KSVH Berlin</v>
      </c>
      <c r="H11" s="69" t="str">
        <f>Saisondaten!B22</f>
        <v>1. MKC Duisburg</v>
      </c>
      <c r="I11" s="69" t="str">
        <f>Saisondaten!B16</f>
        <v>ACC Hamburg</v>
      </c>
      <c r="J11" s="34" t="str">
        <f t="shared" si="0"/>
        <v>ja</v>
      </c>
      <c r="L11" s="69"/>
      <c r="M11" s="69"/>
      <c r="N11" s="69"/>
      <c r="O11" s="69"/>
      <c r="Q11" s="69"/>
      <c r="R11" s="69"/>
      <c r="S11" s="69"/>
      <c r="U11" s="69"/>
    </row>
    <row r="12" spans="1:21" ht="16.5">
      <c r="A12" s="18">
        <f>SpieleDB!A11</f>
        <v>10</v>
      </c>
      <c r="B12" s="38">
        <f>SpieleDB!J11</f>
        <v>43596</v>
      </c>
      <c r="C12" s="36">
        <f>SpieleDB!D11</f>
        <v>0.5729166666666667</v>
      </c>
      <c r="D12" s="18" t="str">
        <f>SpieleDB!F11</f>
        <v>KRM Essen</v>
      </c>
      <c r="E12" s="31" t="s">
        <v>28</v>
      </c>
      <c r="F12" s="18" t="str">
        <f>SpieleDB!G11</f>
        <v>KP Münster</v>
      </c>
      <c r="H12" s="69" t="str">
        <f>Saisondaten!B18</f>
        <v>PSC Coburg</v>
      </c>
      <c r="I12" s="69" t="str">
        <f>Saisondaten!B20</f>
        <v>WSF Liblar</v>
      </c>
      <c r="J12" s="34" t="str">
        <f t="shared" si="0"/>
        <v>ja</v>
      </c>
      <c r="L12" s="69"/>
      <c r="M12" s="69"/>
      <c r="N12" s="69"/>
      <c r="O12" s="69"/>
      <c r="Q12" s="69"/>
      <c r="R12" s="69"/>
      <c r="S12" s="69"/>
      <c r="U12" s="69"/>
    </row>
    <row r="13" spans="1:21" ht="16.5">
      <c r="A13" s="18">
        <f>SpieleDB!A12</f>
        <v>11</v>
      </c>
      <c r="B13" s="38">
        <f>SpieleDB!J12</f>
        <v>43596</v>
      </c>
      <c r="C13" s="36">
        <f>SpieleDB!D12</f>
        <v>0.6041666666666667</v>
      </c>
      <c r="D13" s="18" t="str">
        <f>SpieleDB!F12</f>
        <v>ACC Hamburg</v>
      </c>
      <c r="E13" s="31" t="s">
        <v>28</v>
      </c>
      <c r="F13" s="18" t="str">
        <f>SpieleDB!G12</f>
        <v>1. MKC Duisburg</v>
      </c>
      <c r="H13" s="69" t="str">
        <f>Saisondaten!B21</f>
        <v>KSVH Berlin</v>
      </c>
      <c r="I13" s="69" t="str">
        <f>Saisondaten!B17</f>
        <v>KRM Essen</v>
      </c>
      <c r="J13" s="34" t="str">
        <f t="shared" si="0"/>
        <v>ja</v>
      </c>
      <c r="L13" s="69"/>
      <c r="M13" s="69"/>
      <c r="N13" s="69"/>
      <c r="O13" s="69"/>
      <c r="Q13" s="69"/>
      <c r="R13" s="69"/>
      <c r="S13" s="69"/>
      <c r="U13" s="69"/>
    </row>
    <row r="14" spans="1:21" ht="16.5">
      <c r="A14" s="18">
        <f>SpieleDB!A13</f>
        <v>12</v>
      </c>
      <c r="B14" s="38">
        <f>SpieleDB!J13</f>
        <v>43596</v>
      </c>
      <c r="C14" s="36">
        <f>SpieleDB!D13</f>
        <v>0.6354166666666667</v>
      </c>
      <c r="D14" s="18" t="str">
        <f>SpieleDB!F13</f>
        <v>PSC Coburg</v>
      </c>
      <c r="E14" s="31" t="s">
        <v>28</v>
      </c>
      <c r="F14" s="18" t="str">
        <f>SpieleDB!G13</f>
        <v>WSF Liblar</v>
      </c>
      <c r="H14" s="69" t="str">
        <f>Saisondaten!B19</f>
        <v>KCNW Berlin</v>
      </c>
      <c r="I14" s="69" t="str">
        <f>Saisondaten!B23</f>
        <v>KP Münster</v>
      </c>
      <c r="J14" s="34" t="str">
        <f t="shared" si="0"/>
        <v>ja</v>
      </c>
      <c r="L14" s="69"/>
      <c r="M14" s="69"/>
      <c r="N14" s="69"/>
      <c r="O14" s="69"/>
      <c r="Q14" s="69"/>
      <c r="R14" s="69"/>
      <c r="S14" s="69"/>
      <c r="U14" s="69"/>
    </row>
    <row r="15" spans="1:21" ht="16.5">
      <c r="A15" s="18">
        <f>SpieleDB!A14</f>
        <v>13</v>
      </c>
      <c r="B15" s="38">
        <f>SpieleDB!J14</f>
        <v>43596</v>
      </c>
      <c r="C15" s="36">
        <f>SpieleDB!D14</f>
        <v>0.6666666666666667</v>
      </c>
      <c r="D15" s="18" t="str">
        <f>SpieleDB!F14</f>
        <v>KRM Essen</v>
      </c>
      <c r="E15" s="31" t="s">
        <v>28</v>
      </c>
      <c r="F15" s="18" t="str">
        <f>SpieleDB!G14</f>
        <v>KSVH Berlin</v>
      </c>
      <c r="H15" s="69" t="str">
        <f>Saisondaten!B23</f>
        <v>KP Münster</v>
      </c>
      <c r="I15" s="69" t="str">
        <f>Saisondaten!B19</f>
        <v>KCNW Berlin</v>
      </c>
      <c r="J15" s="34" t="str">
        <f t="shared" si="0"/>
        <v>ja</v>
      </c>
      <c r="L15" s="69"/>
      <c r="M15" s="69"/>
      <c r="N15" s="69"/>
      <c r="O15" s="69"/>
      <c r="Q15" s="69"/>
      <c r="R15" s="69"/>
      <c r="S15" s="69"/>
      <c r="U15" s="69"/>
    </row>
    <row r="16" spans="1:21" ht="16.5">
      <c r="A16" s="18">
        <f>SpieleDB!A15</f>
        <v>14</v>
      </c>
      <c r="B16" s="38">
        <f>SpieleDB!J15</f>
        <v>43596</v>
      </c>
      <c r="C16" s="36">
        <f>SpieleDB!D15</f>
        <v>0.6979166666666667</v>
      </c>
      <c r="D16" s="18" t="str">
        <f>SpieleDB!F15</f>
        <v>ACC Hamburg</v>
      </c>
      <c r="E16" s="31" t="s">
        <v>28</v>
      </c>
      <c r="F16" s="18" t="str">
        <f>SpieleDB!G15</f>
        <v>PSC Coburg</v>
      </c>
      <c r="H16" s="69" t="str">
        <f>Saisondaten!B20</f>
        <v>WSF Liblar</v>
      </c>
      <c r="I16" s="69" t="str">
        <f>Saisondaten!B21</f>
        <v>KSVH Berlin</v>
      </c>
      <c r="J16" s="34" t="str">
        <f t="shared" si="0"/>
        <v>ja</v>
      </c>
      <c r="L16" s="69"/>
      <c r="M16" s="69"/>
      <c r="N16" s="69"/>
      <c r="O16" s="69"/>
      <c r="Q16" s="69"/>
      <c r="R16" s="69"/>
      <c r="S16" s="69"/>
      <c r="U16" s="69"/>
    </row>
    <row r="17" spans="1:21" ht="16.5">
      <c r="A17" s="18">
        <f>SpieleDB!A16</f>
        <v>15</v>
      </c>
      <c r="B17" s="38">
        <f>SpieleDB!J16</f>
        <v>43596</v>
      </c>
      <c r="C17" s="36">
        <f>SpieleDB!D16</f>
        <v>0.7291666666666667</v>
      </c>
      <c r="D17" s="18" t="str">
        <f>SpieleDB!F16</f>
        <v>KCNW Berlin</v>
      </c>
      <c r="E17" s="31" t="s">
        <v>28</v>
      </c>
      <c r="F17" s="18" t="str">
        <f>SpieleDB!G16</f>
        <v>1. MKC Duisburg</v>
      </c>
      <c r="H17" s="69" t="str">
        <f>Saisondaten!B17</f>
        <v>KRM Essen</v>
      </c>
      <c r="I17" s="69" t="str">
        <f>Saisondaten!B16</f>
        <v>ACC Hamburg</v>
      </c>
      <c r="J17" s="34" t="str">
        <f t="shared" si="0"/>
        <v>ja</v>
      </c>
      <c r="L17" s="69"/>
      <c r="M17" s="69"/>
      <c r="N17" s="69"/>
      <c r="O17" s="69"/>
      <c r="Q17" s="69"/>
      <c r="R17" s="69"/>
      <c r="S17" s="69"/>
      <c r="U17" s="69"/>
    </row>
    <row r="18" spans="1:21" ht="16.5">
      <c r="A18" s="18">
        <f>SpieleDB!A17</f>
        <v>16</v>
      </c>
      <c r="B18" s="38">
        <f>SpieleDB!J17</f>
        <v>43596</v>
      </c>
      <c r="C18" s="36">
        <f>SpieleDB!D17</f>
        <v>0.7604166666666667</v>
      </c>
      <c r="D18" s="18" t="str">
        <f>SpieleDB!F17</f>
        <v>WSF Liblar</v>
      </c>
      <c r="E18" s="31" t="s">
        <v>28</v>
      </c>
      <c r="F18" s="18" t="str">
        <f>SpieleDB!G17</f>
        <v>KP Münster</v>
      </c>
      <c r="H18" s="69" t="str">
        <f>Saisondaten!B22</f>
        <v>1. MKC Duisburg</v>
      </c>
      <c r="I18" s="69" t="str">
        <f>Saisondaten!B18</f>
        <v>PSC Coburg</v>
      </c>
      <c r="J18" s="34" t="str">
        <f t="shared" si="0"/>
        <v>ja</v>
      </c>
      <c r="L18" s="69"/>
      <c r="M18" s="69"/>
      <c r="N18" s="69"/>
      <c r="O18" s="69"/>
      <c r="Q18" s="69"/>
      <c r="R18" s="69"/>
      <c r="S18" s="69"/>
      <c r="U18" s="69"/>
    </row>
    <row r="19" spans="1:21" ht="16.5">
      <c r="A19" s="18">
        <f>SpieleDB!A18</f>
        <v>17</v>
      </c>
      <c r="B19" s="38">
        <f>SpieleDB!J18</f>
        <v>43597</v>
      </c>
      <c r="C19" s="36">
        <f>SpieleDB!D18</f>
        <v>0.3541666666666667</v>
      </c>
      <c r="D19" s="18" t="str">
        <f>SpieleDB!F18</f>
        <v>KSVH Berlin</v>
      </c>
      <c r="E19" s="31" t="s">
        <v>28</v>
      </c>
      <c r="F19" s="18" t="str">
        <f>SpieleDB!G18</f>
        <v>KP Münster</v>
      </c>
      <c r="H19" s="69" t="str">
        <f>Saisondaten!B18</f>
        <v>PSC Coburg</v>
      </c>
      <c r="I19" s="69" t="str">
        <f>Saisondaten!B22</f>
        <v>1. MKC Duisburg</v>
      </c>
      <c r="J19" s="34" t="str">
        <f t="shared" si="0"/>
        <v>ja</v>
      </c>
      <c r="L19" s="69"/>
      <c r="M19" s="69"/>
      <c r="N19" s="69"/>
      <c r="O19" s="69"/>
      <c r="Q19" s="69"/>
      <c r="R19" s="69"/>
      <c r="S19" s="69"/>
      <c r="U19" s="69"/>
    </row>
    <row r="20" spans="1:21" ht="16.5">
      <c r="A20" s="18">
        <f>SpieleDB!A19</f>
        <v>18</v>
      </c>
      <c r="B20" s="38">
        <f>SpieleDB!J19</f>
        <v>43597</v>
      </c>
      <c r="C20" s="36">
        <f>SpieleDB!D19</f>
        <v>0.3541666666666667</v>
      </c>
      <c r="D20" s="18" t="str">
        <f>SpieleDB!F19</f>
        <v>KRM Essen</v>
      </c>
      <c r="E20" s="31" t="s">
        <v>28</v>
      </c>
      <c r="F20" s="18" t="str">
        <f>SpieleDB!G19</f>
        <v>KCNW Berlin</v>
      </c>
      <c r="H20" s="69" t="str">
        <f>Saisondaten!B16</f>
        <v>ACC Hamburg</v>
      </c>
      <c r="I20" s="69" t="str">
        <f>Saisondaten!B20</f>
        <v>WSF Liblar</v>
      </c>
      <c r="J20" s="34" t="str">
        <f t="shared" si="0"/>
        <v>ja</v>
      </c>
      <c r="L20" s="69"/>
      <c r="M20" s="69"/>
      <c r="N20" s="69"/>
      <c r="O20" s="69"/>
      <c r="Q20" s="69"/>
      <c r="R20" s="69"/>
      <c r="S20" s="69"/>
      <c r="U20" s="69"/>
    </row>
    <row r="21" spans="1:21" ht="16.5">
      <c r="A21" s="18">
        <f>SpieleDB!A20</f>
        <v>19</v>
      </c>
      <c r="B21" s="38">
        <f>SpieleDB!J20</f>
        <v>43597</v>
      </c>
      <c r="C21" s="36">
        <f>SpieleDB!D20</f>
        <v>0.3854166666666667</v>
      </c>
      <c r="D21" s="18" t="str">
        <f>SpieleDB!F20</f>
        <v>PSC Coburg</v>
      </c>
      <c r="E21" s="31" t="s">
        <v>28</v>
      </c>
      <c r="F21" s="18" t="str">
        <f>SpieleDB!G20</f>
        <v>1. MKC Duisburg</v>
      </c>
      <c r="H21" s="69" t="str">
        <f>Saisondaten!B21</f>
        <v>KSVH Berlin</v>
      </c>
      <c r="I21" s="69" t="str">
        <f>Saisondaten!B23</f>
        <v>KP Münster</v>
      </c>
      <c r="J21" s="34" t="str">
        <f t="shared" si="0"/>
        <v>ja</v>
      </c>
      <c r="L21" s="69"/>
      <c r="M21" s="69"/>
      <c r="N21" s="69"/>
      <c r="O21" s="69"/>
      <c r="Q21" s="69"/>
      <c r="R21" s="69"/>
      <c r="S21" s="69"/>
      <c r="U21" s="69"/>
    </row>
    <row r="22" spans="1:21" ht="16.5">
      <c r="A22" s="18">
        <f>SpieleDB!A21</f>
        <v>20</v>
      </c>
      <c r="B22" s="38">
        <f>SpieleDB!J21</f>
        <v>43597</v>
      </c>
      <c r="C22" s="36">
        <f>SpieleDB!D21</f>
        <v>0.3854166666666667</v>
      </c>
      <c r="D22" s="18" t="str">
        <f>SpieleDB!F21</f>
        <v>ACC Hamburg</v>
      </c>
      <c r="E22" s="31" t="s">
        <v>28</v>
      </c>
      <c r="F22" s="18" t="str">
        <f>SpieleDB!G21</f>
        <v>WSF Liblar</v>
      </c>
      <c r="H22" s="69" t="str">
        <f>Saisondaten!B17</f>
        <v>KRM Essen</v>
      </c>
      <c r="I22" s="69" t="str">
        <f>Saisondaten!B19</f>
        <v>KCNW Berlin</v>
      </c>
      <c r="J22" s="34" t="str">
        <f t="shared" si="0"/>
        <v>ja</v>
      </c>
      <c r="L22" s="69"/>
      <c r="M22" s="69"/>
      <c r="N22" s="69"/>
      <c r="O22" s="69"/>
      <c r="Q22" s="69"/>
      <c r="R22" s="69"/>
      <c r="S22" s="69"/>
      <c r="U22" s="69"/>
    </row>
    <row r="23" spans="1:21" ht="16.5">
      <c r="A23" s="18">
        <f>SpieleDB!A22</f>
        <v>21</v>
      </c>
      <c r="B23" s="38">
        <f>SpieleDB!J22</f>
        <v>43597</v>
      </c>
      <c r="C23" s="36">
        <f>SpieleDB!D22</f>
        <v>0.4166666666666667</v>
      </c>
      <c r="D23" s="18" t="str">
        <f>SpieleDB!F22</f>
        <v>KCNW Berlin</v>
      </c>
      <c r="E23" s="31" t="s">
        <v>28</v>
      </c>
      <c r="F23" s="18" t="str">
        <f>SpieleDB!G22</f>
        <v>KP Münster</v>
      </c>
      <c r="H23" s="69" t="str">
        <f>Saisondaten!B16</f>
        <v>ACC Hamburg</v>
      </c>
      <c r="I23" s="69" t="str">
        <f>Saisondaten!B21</f>
        <v>KSVH Berlin</v>
      </c>
      <c r="J23" s="34" t="str">
        <f t="shared" si="0"/>
        <v>ja</v>
      </c>
      <c r="L23" s="69"/>
      <c r="M23" s="69"/>
      <c r="N23" s="69"/>
      <c r="O23" s="69"/>
      <c r="Q23" s="69"/>
      <c r="R23" s="69"/>
      <c r="S23" s="69"/>
      <c r="U23" s="69"/>
    </row>
    <row r="24" spans="1:21" ht="16.5">
      <c r="A24" s="18">
        <f>SpieleDB!A23</f>
        <v>22</v>
      </c>
      <c r="B24" s="38">
        <f>SpieleDB!J23</f>
        <v>43597</v>
      </c>
      <c r="C24" s="36">
        <f>SpieleDB!D23</f>
        <v>0.4444444444444445</v>
      </c>
      <c r="D24" s="18" t="str">
        <f>SpieleDB!F23</f>
        <v>WSF Liblar</v>
      </c>
      <c r="E24" s="31" t="s">
        <v>28</v>
      </c>
      <c r="F24" s="18" t="str">
        <f>SpieleDB!G23</f>
        <v>1. MKC Duisburg</v>
      </c>
      <c r="H24" s="69" t="str">
        <f>Saisondaten!B19</f>
        <v>KCNW Berlin</v>
      </c>
      <c r="I24" s="69" t="str">
        <f>Saisondaten!B23</f>
        <v>KP Münster</v>
      </c>
      <c r="J24" s="34" t="str">
        <f t="shared" si="0"/>
        <v>ja</v>
      </c>
      <c r="L24" s="69"/>
      <c r="M24" s="69"/>
      <c r="N24" s="69"/>
      <c r="O24" s="69"/>
      <c r="Q24" s="69"/>
      <c r="R24" s="69"/>
      <c r="S24" s="69"/>
      <c r="U24" s="69"/>
    </row>
    <row r="25" spans="1:21" ht="16.5">
      <c r="A25" s="18">
        <f>SpieleDB!A24</f>
        <v>23</v>
      </c>
      <c r="B25" s="38">
        <f>SpieleDB!J24</f>
        <v>43597</v>
      </c>
      <c r="C25" s="36">
        <f>SpieleDB!D24</f>
        <v>0.46875000000000006</v>
      </c>
      <c r="D25" s="18" t="str">
        <f>SpieleDB!F24</f>
        <v>KRM Essen</v>
      </c>
      <c r="E25" s="31" t="s">
        <v>28</v>
      </c>
      <c r="F25" s="18" t="str">
        <f>SpieleDB!G24</f>
        <v>PSC Coburg</v>
      </c>
      <c r="H25" s="69" t="str">
        <f>Saisondaten!B20</f>
        <v>WSF Liblar</v>
      </c>
      <c r="I25" s="69" t="str">
        <f>Saisondaten!B22</f>
        <v>1. MKC Duisburg</v>
      </c>
      <c r="J25" s="34" t="str">
        <f t="shared" si="0"/>
        <v>ja</v>
      </c>
      <c r="L25" s="69"/>
      <c r="M25" s="69"/>
      <c r="N25" s="69"/>
      <c r="O25" s="69"/>
      <c r="Q25" s="69"/>
      <c r="R25" s="69"/>
      <c r="S25" s="69"/>
      <c r="U25" s="69"/>
    </row>
    <row r="26" spans="1:21" ht="16.5">
      <c r="A26" s="18">
        <f>SpieleDB!A25</f>
        <v>24</v>
      </c>
      <c r="B26" s="38">
        <f>SpieleDB!J25</f>
        <v>43597</v>
      </c>
      <c r="C26" s="36">
        <f>SpieleDB!D25</f>
        <v>0.49305555555555564</v>
      </c>
      <c r="D26" s="18" t="str">
        <f>SpieleDB!F25</f>
        <v>ACC Hamburg</v>
      </c>
      <c r="E26" s="31" t="s">
        <v>28</v>
      </c>
      <c r="F26" s="18" t="str">
        <f>SpieleDB!G25</f>
        <v>KSVH Berlin</v>
      </c>
      <c r="H26" s="69" t="str">
        <f>Saisondaten!B17</f>
        <v>KRM Essen</v>
      </c>
      <c r="I26" s="69" t="str">
        <f>Saisondaten!B18</f>
        <v>PSC Coburg</v>
      </c>
      <c r="J26" s="34" t="str">
        <f t="shared" si="0"/>
        <v>ja</v>
      </c>
      <c r="L26" s="69"/>
      <c r="M26" s="69"/>
      <c r="N26" s="69"/>
      <c r="O26" s="69"/>
      <c r="Q26" s="69"/>
      <c r="R26" s="69"/>
      <c r="S26" s="69"/>
      <c r="U26" s="69"/>
    </row>
    <row r="27" spans="1:21" ht="16.5">
      <c r="A27" s="18">
        <f>SpieleDB!A26</f>
        <v>25</v>
      </c>
      <c r="B27" s="38">
        <f>SpieleDB!J26</f>
        <v>43597</v>
      </c>
      <c r="C27" s="36">
        <f>SpieleDB!D26</f>
        <v>0.5208333333333334</v>
      </c>
      <c r="D27" s="18" t="str">
        <f>SpieleDB!F26</f>
        <v>1. MKC Duisburg</v>
      </c>
      <c r="E27" s="31" t="s">
        <v>28</v>
      </c>
      <c r="F27" s="18" t="str">
        <f>SpieleDB!G26</f>
        <v>KP Münster</v>
      </c>
      <c r="H27" s="69" t="str">
        <f>Saisondaten!B16</f>
        <v>ACC Hamburg</v>
      </c>
      <c r="I27" s="69" t="str">
        <f>Saisondaten!B17</f>
        <v>KRM Essen</v>
      </c>
      <c r="J27" s="34" t="str">
        <f t="shared" si="0"/>
        <v>ja</v>
      </c>
      <c r="L27" s="69"/>
      <c r="M27" s="69"/>
      <c r="N27" s="69"/>
      <c r="O27" s="69"/>
      <c r="Q27" s="69"/>
      <c r="R27" s="69"/>
      <c r="S27" s="69"/>
      <c r="U27" s="69"/>
    </row>
    <row r="28" spans="1:21" ht="16.5">
      <c r="A28" s="18">
        <f>SpieleDB!A27</f>
        <v>26</v>
      </c>
      <c r="B28" s="38">
        <f>SpieleDB!J27</f>
        <v>43597</v>
      </c>
      <c r="C28" s="36">
        <f>SpieleDB!D27</f>
        <v>0.5486111111111112</v>
      </c>
      <c r="D28" s="18" t="str">
        <f>SpieleDB!F27</f>
        <v>WSF Liblar</v>
      </c>
      <c r="E28" s="31" t="s">
        <v>28</v>
      </c>
      <c r="F28" s="18" t="str">
        <f>SpieleDB!G27</f>
        <v>KSVH Berlin</v>
      </c>
      <c r="H28" s="69" t="str">
        <f>Saisondaten!B23</f>
        <v>KP Münster</v>
      </c>
      <c r="I28" s="69" t="str">
        <f>Saisondaten!B22</f>
        <v>1. MKC Duisburg</v>
      </c>
      <c r="J28" s="34" t="str">
        <f t="shared" si="0"/>
        <v>ja</v>
      </c>
      <c r="L28" s="69"/>
      <c r="M28" s="69"/>
      <c r="N28" s="69"/>
      <c r="O28" s="69"/>
      <c r="Q28" s="69"/>
      <c r="R28" s="69"/>
      <c r="S28" s="69"/>
      <c r="U28" s="69"/>
    </row>
    <row r="29" spans="1:21" ht="16.5">
      <c r="A29" s="18">
        <f>SpieleDB!A28</f>
        <v>27</v>
      </c>
      <c r="B29" s="38">
        <f>SpieleDB!J28</f>
        <v>43597</v>
      </c>
      <c r="C29" s="36">
        <f>SpieleDB!D28</f>
        <v>0.576388888888889</v>
      </c>
      <c r="D29" s="18" t="str">
        <f>SpieleDB!F28</f>
        <v>PSC Coburg</v>
      </c>
      <c r="E29" s="31" t="s">
        <v>28</v>
      </c>
      <c r="F29" s="18" t="str">
        <f>SpieleDB!G28</f>
        <v>KCNW Berlin</v>
      </c>
      <c r="H29" s="69" t="str">
        <f>Saisondaten!B21</f>
        <v>KSVH Berlin</v>
      </c>
      <c r="I29" s="69" t="str">
        <f>Saisondaten!B20</f>
        <v>WSF Liblar</v>
      </c>
      <c r="J29" s="34" t="str">
        <f t="shared" si="0"/>
        <v>ja</v>
      </c>
      <c r="L29" s="69"/>
      <c r="M29" s="69"/>
      <c r="N29" s="69"/>
      <c r="O29" s="69"/>
      <c r="Q29" s="69"/>
      <c r="R29" s="69"/>
      <c r="S29" s="69"/>
      <c r="U29" s="69"/>
    </row>
    <row r="30" spans="1:21" ht="16.5">
      <c r="A30" s="18">
        <f>SpieleDB!A29</f>
        <v>28</v>
      </c>
      <c r="B30" s="38">
        <f>SpieleDB!J29</f>
        <v>43597</v>
      </c>
      <c r="C30" s="36">
        <f>SpieleDB!D29</f>
        <v>0.6006944444444445</v>
      </c>
      <c r="D30" s="18" t="str">
        <f>SpieleDB!F29</f>
        <v>ACC Hamburg</v>
      </c>
      <c r="E30" s="31" t="s">
        <v>28</v>
      </c>
      <c r="F30" s="18" t="str">
        <f>SpieleDB!G29</f>
        <v>KRM Essen</v>
      </c>
      <c r="H30" s="69" t="str">
        <f>Saisondaten!B18</f>
        <v>PSC Coburg</v>
      </c>
      <c r="I30" s="69" t="str">
        <f>Saisondaten!B19</f>
        <v>KCNW Berlin</v>
      </c>
      <c r="J30" s="34" t="str">
        <f t="shared" si="0"/>
        <v>ja</v>
      </c>
      <c r="L30" s="69"/>
      <c r="M30" s="69"/>
      <c r="N30" s="69"/>
      <c r="O30" s="69"/>
      <c r="Q30" s="69"/>
      <c r="R30" s="69"/>
      <c r="S30" s="69"/>
      <c r="U30" s="69"/>
    </row>
    <row r="31" spans="1:21" ht="16.5">
      <c r="A31" s="18">
        <f>SpieleDB!A30</f>
        <v>29</v>
      </c>
      <c r="B31" s="38">
        <f>SpieleDB!J30</f>
        <v>43659</v>
      </c>
      <c r="C31" s="36">
        <f>SpieleDB!D30</f>
        <v>0.3541666666666667</v>
      </c>
      <c r="D31" s="18" t="str">
        <f>SpieleDB!F30</f>
        <v>ACC Hamburg</v>
      </c>
      <c r="E31" s="31" t="s">
        <v>28</v>
      </c>
      <c r="F31" s="18" t="str">
        <f>SpieleDB!G30</f>
        <v>KP Münster</v>
      </c>
      <c r="H31" s="69" t="str">
        <f>Saisondaten!B29</f>
        <v>PSC Coburg</v>
      </c>
      <c r="I31" s="69" t="str">
        <f>Saisondaten!B34</f>
        <v>KSVH Berlin</v>
      </c>
      <c r="J31" s="34" t="str">
        <f aca="true" t="shared" si="1" ref="J31:J58">IF(OR(OR(H31="",D31=H31),OR(I31="",F31=I31)),"nein","ja")</f>
        <v>ja</v>
      </c>
      <c r="L31" s="69"/>
      <c r="M31" s="69"/>
      <c r="N31" s="69"/>
      <c r="O31" s="69"/>
      <c r="Q31" s="69"/>
      <c r="R31" s="69"/>
      <c r="S31" s="69"/>
      <c r="U31" s="69"/>
    </row>
    <row r="32" spans="1:21" ht="16.5">
      <c r="A32" s="18">
        <f>SpieleDB!A31</f>
        <v>30</v>
      </c>
      <c r="B32" s="38">
        <f>SpieleDB!J31</f>
        <v>43659</v>
      </c>
      <c r="C32" s="36">
        <f>SpieleDB!D31</f>
        <v>0.3819444444444444</v>
      </c>
      <c r="D32" s="18" t="str">
        <f>SpieleDB!F31</f>
        <v>KRM Essen</v>
      </c>
      <c r="E32" s="31" t="s">
        <v>28</v>
      </c>
      <c r="F32" s="18" t="str">
        <f>SpieleDB!G31</f>
        <v>WSF Liblar</v>
      </c>
      <c r="H32" s="69" t="str">
        <f>Saisondaten!B31</f>
        <v>KCNW Berlin</v>
      </c>
      <c r="I32" s="69" t="str">
        <f>Saisondaten!B32</f>
        <v>1. MKC Duisburg</v>
      </c>
      <c r="J32" s="34" t="str">
        <f t="shared" si="1"/>
        <v>ja</v>
      </c>
      <c r="L32" s="69"/>
      <c r="M32" s="69"/>
      <c r="N32" s="69"/>
      <c r="O32" s="69"/>
      <c r="Q32" s="69"/>
      <c r="R32" s="69"/>
      <c r="S32" s="69"/>
      <c r="U32" s="69"/>
    </row>
    <row r="33" spans="1:21" ht="16.5">
      <c r="A33" s="18">
        <f>SpieleDB!A32</f>
        <v>31</v>
      </c>
      <c r="B33" s="38">
        <f>SpieleDB!J32</f>
        <v>43659</v>
      </c>
      <c r="C33" s="36">
        <f>SpieleDB!D32</f>
        <v>0.409722222222222</v>
      </c>
      <c r="D33" s="18" t="str">
        <f>SpieleDB!F32</f>
        <v>PSC Coburg</v>
      </c>
      <c r="E33" s="31" t="s">
        <v>28</v>
      </c>
      <c r="F33" s="18" t="str">
        <f>SpieleDB!G32</f>
        <v>KSVH Berlin</v>
      </c>
      <c r="H33" s="69" t="str">
        <f>Saisondaten!B28</f>
        <v>ACC Hamburg</v>
      </c>
      <c r="I33" s="69" t="str">
        <f>Saisondaten!B35</f>
        <v>KP Münster</v>
      </c>
      <c r="J33" s="34" t="str">
        <f t="shared" si="1"/>
        <v>ja</v>
      </c>
      <c r="L33" s="69"/>
      <c r="M33" s="69"/>
      <c r="N33" s="69"/>
      <c r="O33" s="69"/>
      <c r="Q33" s="69"/>
      <c r="R33" s="69"/>
      <c r="S33" s="69"/>
      <c r="U33" s="69"/>
    </row>
    <row r="34" spans="1:21" ht="16.5">
      <c r="A34" s="18">
        <f>SpieleDB!A33</f>
        <v>32</v>
      </c>
      <c r="B34" s="38">
        <f>SpieleDB!J33</f>
        <v>43659</v>
      </c>
      <c r="C34" s="36">
        <f>SpieleDB!D33</f>
        <v>0.4375</v>
      </c>
      <c r="D34" s="18" t="str">
        <f>SpieleDB!F33</f>
        <v>KCNW Berlin</v>
      </c>
      <c r="E34" s="31" t="s">
        <v>28</v>
      </c>
      <c r="F34" s="18" t="str">
        <f>SpieleDB!G33</f>
        <v>1. MKC Duisburg</v>
      </c>
      <c r="H34" s="69" t="str">
        <f>Saisondaten!B30</f>
        <v>KRM Essen</v>
      </c>
      <c r="I34" s="69" t="str">
        <f>Saisondaten!B33</f>
        <v>WSF Liblar</v>
      </c>
      <c r="J34" s="34" t="str">
        <f t="shared" si="1"/>
        <v>ja</v>
      </c>
      <c r="L34" s="69"/>
      <c r="M34" s="69"/>
      <c r="N34" s="69"/>
      <c r="O34" s="69"/>
      <c r="Q34" s="69"/>
      <c r="R34" s="69"/>
      <c r="S34" s="69"/>
      <c r="U34" s="69"/>
    </row>
    <row r="35" spans="1:21" ht="16.5">
      <c r="A35" s="18">
        <f>SpieleDB!A34</f>
        <v>33</v>
      </c>
      <c r="B35" s="38">
        <f>SpieleDB!J34</f>
        <v>43659</v>
      </c>
      <c r="C35" s="36">
        <f>SpieleDB!D34</f>
        <v>0.465277777777778</v>
      </c>
      <c r="D35" s="18" t="str">
        <f>SpieleDB!F34</f>
        <v>KRM Essen</v>
      </c>
      <c r="E35" s="31" t="s">
        <v>28</v>
      </c>
      <c r="F35" s="18" t="str">
        <f>SpieleDB!G34</f>
        <v>KP Münster</v>
      </c>
      <c r="H35" s="69" t="str">
        <f>Saisondaten!B28</f>
        <v>ACC Hamburg</v>
      </c>
      <c r="I35" s="69" t="str">
        <f>Saisondaten!B31</f>
        <v>KCNW Berlin</v>
      </c>
      <c r="J35" s="34" t="str">
        <f t="shared" si="1"/>
        <v>ja</v>
      </c>
      <c r="L35" s="69"/>
      <c r="M35" s="69"/>
      <c r="N35" s="69"/>
      <c r="O35" s="69"/>
      <c r="Q35" s="69"/>
      <c r="R35" s="69"/>
      <c r="S35" s="69"/>
      <c r="U35" s="69"/>
    </row>
    <row r="36" spans="1:21" ht="16.5">
      <c r="A36" s="18">
        <f>SpieleDB!A35</f>
        <v>34</v>
      </c>
      <c r="B36" s="38">
        <f>SpieleDB!J35</f>
        <v>43659</v>
      </c>
      <c r="C36" s="36">
        <f>SpieleDB!D35</f>
        <v>0.493055555555556</v>
      </c>
      <c r="D36" s="18" t="str">
        <f>SpieleDB!F35</f>
        <v>WSF Liblar</v>
      </c>
      <c r="E36" s="31" t="s">
        <v>28</v>
      </c>
      <c r="F36" s="18" t="str">
        <f>SpieleDB!G35</f>
        <v>KSVH Berlin</v>
      </c>
      <c r="H36" s="69" t="str">
        <f>Saisondaten!B32</f>
        <v>1. MKC Duisburg</v>
      </c>
      <c r="I36" s="69" t="str">
        <f>Saisondaten!B29</f>
        <v>PSC Coburg</v>
      </c>
      <c r="J36" s="34" t="str">
        <f t="shared" si="1"/>
        <v>ja</v>
      </c>
      <c r="L36" s="69"/>
      <c r="M36" s="69"/>
      <c r="N36" s="69"/>
      <c r="O36" s="69"/>
      <c r="Q36" s="69"/>
      <c r="R36" s="69"/>
      <c r="S36" s="69"/>
      <c r="U36" s="69"/>
    </row>
    <row r="37" spans="1:21" ht="16.5">
      <c r="A37" s="18">
        <f>SpieleDB!A36</f>
        <v>35</v>
      </c>
      <c r="B37" s="38">
        <f>SpieleDB!J36</f>
        <v>43659</v>
      </c>
      <c r="C37" s="36">
        <f>SpieleDB!D36</f>
        <v>0.520833333333333</v>
      </c>
      <c r="D37" s="18" t="str">
        <f>SpieleDB!F36</f>
        <v>ACC Hamburg</v>
      </c>
      <c r="E37" s="31" t="s">
        <v>28</v>
      </c>
      <c r="F37" s="18" t="str">
        <f>SpieleDB!G36</f>
        <v>KCNW Berlin</v>
      </c>
      <c r="H37" s="69" t="str">
        <f>Saisondaten!B33</f>
        <v>WSF Liblar</v>
      </c>
      <c r="I37" s="69" t="str">
        <f>Saisondaten!B34</f>
        <v>KSVH Berlin</v>
      </c>
      <c r="J37" s="34" t="str">
        <f t="shared" si="1"/>
        <v>ja</v>
      </c>
      <c r="L37" s="69"/>
      <c r="M37" s="69"/>
      <c r="N37" s="69"/>
      <c r="O37" s="69"/>
      <c r="Q37" s="69"/>
      <c r="R37" s="69"/>
      <c r="S37" s="69"/>
      <c r="U37" s="69"/>
    </row>
    <row r="38" spans="1:21" ht="16.5">
      <c r="A38" s="18">
        <f>SpieleDB!A37</f>
        <v>36</v>
      </c>
      <c r="B38" s="38">
        <f>SpieleDB!J37</f>
        <v>43659</v>
      </c>
      <c r="C38" s="36">
        <f>SpieleDB!D37</f>
        <v>0.548611111111111</v>
      </c>
      <c r="D38" s="18" t="str">
        <f>SpieleDB!F37</f>
        <v>PSC Coburg</v>
      </c>
      <c r="E38" s="31" t="s">
        <v>28</v>
      </c>
      <c r="F38" s="18" t="str">
        <f>SpieleDB!G37</f>
        <v>1. MKC Duisburg</v>
      </c>
      <c r="H38" s="69" t="str">
        <f>Saisondaten!B35</f>
        <v>KP Münster</v>
      </c>
      <c r="I38" s="69" t="str">
        <f>Saisondaten!B30</f>
        <v>KRM Essen</v>
      </c>
      <c r="J38" s="34" t="str">
        <f t="shared" si="1"/>
        <v>ja</v>
      </c>
      <c r="L38" s="69"/>
      <c r="M38" s="69"/>
      <c r="N38" s="69"/>
      <c r="O38" s="69"/>
      <c r="Q38" s="69"/>
      <c r="R38" s="69"/>
      <c r="S38" s="69"/>
      <c r="U38" s="69"/>
    </row>
    <row r="39" spans="1:21" ht="16.5">
      <c r="A39" s="18">
        <f>SpieleDB!A38</f>
        <v>37</v>
      </c>
      <c r="B39" s="38">
        <f>SpieleDB!J38</f>
        <v>43659</v>
      </c>
      <c r="C39" s="36">
        <f>SpieleDB!D38</f>
        <v>0.576388888888889</v>
      </c>
      <c r="D39" s="18" t="str">
        <f>SpieleDB!F38</f>
        <v>KCNW Berlin</v>
      </c>
      <c r="E39" s="31" t="s">
        <v>28</v>
      </c>
      <c r="F39" s="18" t="str">
        <f>SpieleDB!G38</f>
        <v>WSF Liblar</v>
      </c>
      <c r="H39" s="69" t="str">
        <f>Saisondaten!B34</f>
        <v>KSVH Berlin</v>
      </c>
      <c r="I39" s="69" t="str">
        <f>Saisondaten!B28</f>
        <v>ACC Hamburg</v>
      </c>
      <c r="J39" s="34" t="str">
        <f t="shared" si="1"/>
        <v>ja</v>
      </c>
      <c r="L39" s="69"/>
      <c r="M39" s="69"/>
      <c r="N39" s="69"/>
      <c r="O39" s="69"/>
      <c r="Q39" s="69"/>
      <c r="R39" s="69"/>
      <c r="S39" s="69"/>
      <c r="U39" s="69"/>
    </row>
    <row r="40" spans="1:21" ht="16.5">
      <c r="A40" s="18">
        <f>SpieleDB!A39</f>
        <v>38</v>
      </c>
      <c r="B40" s="38">
        <f>SpieleDB!J39</f>
        <v>43659</v>
      </c>
      <c r="C40" s="36">
        <f>SpieleDB!D39</f>
        <v>0.604166666666667</v>
      </c>
      <c r="D40" s="18" t="str">
        <f>SpieleDB!F39</f>
        <v>PSC Coburg</v>
      </c>
      <c r="E40" s="31" t="s">
        <v>28</v>
      </c>
      <c r="F40" s="18" t="str">
        <f>SpieleDB!G39</f>
        <v>KP Münster</v>
      </c>
      <c r="H40" s="69" t="str">
        <f>Saisondaten!B30</f>
        <v>KRM Essen</v>
      </c>
      <c r="I40" s="69" t="str">
        <f>Saisondaten!B32</f>
        <v>1. MKC Duisburg</v>
      </c>
      <c r="J40" s="34" t="str">
        <f t="shared" si="1"/>
        <v>ja</v>
      </c>
      <c r="L40" s="69"/>
      <c r="M40" s="69"/>
      <c r="N40" s="69"/>
      <c r="O40" s="69"/>
      <c r="Q40" s="69"/>
      <c r="R40" s="69"/>
      <c r="S40" s="69"/>
      <c r="U40" s="69"/>
    </row>
    <row r="41" spans="1:21" ht="16.5">
      <c r="A41" s="18">
        <f>SpieleDB!A40</f>
        <v>39</v>
      </c>
      <c r="B41" s="38">
        <f>SpieleDB!J40</f>
        <v>43659</v>
      </c>
      <c r="C41" s="36">
        <f>SpieleDB!D40</f>
        <v>0.631944444444444</v>
      </c>
      <c r="D41" s="18" t="str">
        <f>SpieleDB!F40</f>
        <v>ACC Hamburg</v>
      </c>
      <c r="E41" s="31" t="s">
        <v>28</v>
      </c>
      <c r="F41" s="18" t="str">
        <f>SpieleDB!G40</f>
        <v>KSVH Berlin</v>
      </c>
      <c r="H41" s="69" t="str">
        <f>Saisondaten!B33</f>
        <v>WSF Liblar</v>
      </c>
      <c r="I41" s="69" t="str">
        <f>Saisondaten!B29</f>
        <v>PSC Coburg</v>
      </c>
      <c r="J41" s="34" t="str">
        <f t="shared" si="1"/>
        <v>ja</v>
      </c>
      <c r="L41" s="69"/>
      <c r="M41" s="69"/>
      <c r="N41" s="69"/>
      <c r="O41" s="69"/>
      <c r="Q41" s="69"/>
      <c r="R41" s="69"/>
      <c r="S41" s="69"/>
      <c r="U41" s="69"/>
    </row>
    <row r="42" spans="1:21" ht="16.5">
      <c r="A42" s="18">
        <f>SpieleDB!A41</f>
        <v>40</v>
      </c>
      <c r="B42" s="38">
        <f>SpieleDB!J41</f>
        <v>43659</v>
      </c>
      <c r="C42" s="36">
        <f>SpieleDB!D41</f>
        <v>0.659722222222222</v>
      </c>
      <c r="D42" s="18" t="str">
        <f>SpieleDB!F41</f>
        <v>KRM Essen</v>
      </c>
      <c r="E42" s="31" t="s">
        <v>28</v>
      </c>
      <c r="F42" s="18" t="str">
        <f>SpieleDB!G41</f>
        <v>1. MKC Duisburg</v>
      </c>
      <c r="H42" s="69" t="str">
        <f>Saisondaten!B31</f>
        <v>KCNW Berlin</v>
      </c>
      <c r="I42" s="69" t="str">
        <f>Saisondaten!B35</f>
        <v>KP Münster</v>
      </c>
      <c r="J42" s="34" t="str">
        <f t="shared" si="1"/>
        <v>ja</v>
      </c>
      <c r="L42" s="69"/>
      <c r="M42" s="69"/>
      <c r="N42" s="69"/>
      <c r="O42" s="69"/>
      <c r="Q42" s="69"/>
      <c r="R42" s="69"/>
      <c r="S42" s="69"/>
      <c r="U42" s="69"/>
    </row>
    <row r="43" spans="1:21" ht="16.5">
      <c r="A43" s="18">
        <f>SpieleDB!A42</f>
        <v>41</v>
      </c>
      <c r="B43" s="38">
        <f>SpieleDB!J42</f>
        <v>43659</v>
      </c>
      <c r="C43" s="36">
        <f>SpieleDB!D42</f>
        <v>0.6875</v>
      </c>
      <c r="D43" s="18" t="str">
        <f>SpieleDB!F42</f>
        <v>PSC Coburg</v>
      </c>
      <c r="E43" s="31" t="s">
        <v>28</v>
      </c>
      <c r="F43" s="18" t="str">
        <f>SpieleDB!G42</f>
        <v>WSF Liblar</v>
      </c>
      <c r="H43" s="69" t="str">
        <f>Saisondaten!B35</f>
        <v>KP Münster</v>
      </c>
      <c r="I43" s="69" t="str">
        <f>Saisondaten!B31</f>
        <v>KCNW Berlin</v>
      </c>
      <c r="J43" s="34" t="str">
        <f t="shared" si="1"/>
        <v>ja</v>
      </c>
      <c r="L43" s="69"/>
      <c r="M43" s="69"/>
      <c r="N43" s="69"/>
      <c r="O43" s="69"/>
      <c r="Q43" s="69"/>
      <c r="R43" s="69"/>
      <c r="S43" s="69"/>
      <c r="U43" s="69"/>
    </row>
    <row r="44" spans="1:21" ht="16.5">
      <c r="A44" s="18">
        <f>SpieleDB!A43</f>
        <v>42</v>
      </c>
      <c r="B44" s="38">
        <f>SpieleDB!J43</f>
        <v>43659</v>
      </c>
      <c r="C44" s="36">
        <f>SpieleDB!D43</f>
        <v>0.715277777777778</v>
      </c>
      <c r="D44" s="18" t="str">
        <f>SpieleDB!F43</f>
        <v>ACC Hamburg</v>
      </c>
      <c r="E44" s="31" t="s">
        <v>28</v>
      </c>
      <c r="F44" s="18" t="str">
        <f>SpieleDB!G43</f>
        <v>KRM Essen</v>
      </c>
      <c r="H44" s="69" t="str">
        <f>Saisondaten!B32</f>
        <v>1. MKC Duisburg</v>
      </c>
      <c r="I44" s="69" t="str">
        <f>Saisondaten!B33</f>
        <v>WSF Liblar</v>
      </c>
      <c r="J44" s="34" t="str">
        <f t="shared" si="1"/>
        <v>ja</v>
      </c>
      <c r="L44" s="69"/>
      <c r="M44" s="69"/>
      <c r="N44" s="69"/>
      <c r="O44" s="69"/>
      <c r="Q44" s="69"/>
      <c r="R44" s="69"/>
      <c r="S44" s="69"/>
      <c r="U44" s="69"/>
    </row>
    <row r="45" spans="1:21" ht="16.5">
      <c r="A45" s="18">
        <f>SpieleDB!A44</f>
        <v>43</v>
      </c>
      <c r="B45" s="38">
        <f>SpieleDB!J44</f>
        <v>43659</v>
      </c>
      <c r="C45" s="36">
        <f>SpieleDB!D44</f>
        <v>0.743055555555555</v>
      </c>
      <c r="D45" s="18" t="str">
        <f>SpieleDB!F44</f>
        <v>KCNW Berlin</v>
      </c>
      <c r="E45" s="31" t="s">
        <v>28</v>
      </c>
      <c r="F45" s="18" t="str">
        <f>SpieleDB!G44</f>
        <v>KSVH Berlin</v>
      </c>
      <c r="H45" s="69" t="str">
        <f>Saisondaten!B29</f>
        <v>PSC Coburg</v>
      </c>
      <c r="I45" s="69" t="str">
        <f>Saisondaten!B28</f>
        <v>ACC Hamburg</v>
      </c>
      <c r="J45" s="34" t="str">
        <f t="shared" si="1"/>
        <v>ja</v>
      </c>
      <c r="L45" s="69"/>
      <c r="M45" s="69"/>
      <c r="N45" s="69"/>
      <c r="O45" s="69"/>
      <c r="Q45" s="69"/>
      <c r="R45" s="69"/>
      <c r="S45" s="69"/>
      <c r="U45" s="69"/>
    </row>
    <row r="46" spans="1:21" ht="16.5">
      <c r="A46" s="18">
        <f>SpieleDB!A45</f>
        <v>44</v>
      </c>
      <c r="B46" s="38">
        <f>SpieleDB!J45</f>
        <v>43659</v>
      </c>
      <c r="C46" s="36">
        <f>SpieleDB!D45</f>
        <v>0.770833333333333</v>
      </c>
      <c r="D46" s="18" t="str">
        <f>SpieleDB!F45</f>
        <v>1. MKC Duisburg</v>
      </c>
      <c r="E46" s="31" t="s">
        <v>28</v>
      </c>
      <c r="F46" s="18" t="str">
        <f>SpieleDB!G45</f>
        <v>KP Münster</v>
      </c>
      <c r="H46" s="69" t="str">
        <f>Saisondaten!B34</f>
        <v>KSVH Berlin</v>
      </c>
      <c r="I46" s="69" t="str">
        <f>Saisondaten!B30</f>
        <v>KRM Essen</v>
      </c>
      <c r="J46" s="34" t="str">
        <f t="shared" si="1"/>
        <v>ja</v>
      </c>
      <c r="L46" s="69"/>
      <c r="M46" s="69"/>
      <c r="N46" s="69"/>
      <c r="O46" s="69"/>
      <c r="Q46" s="69"/>
      <c r="R46" s="69"/>
      <c r="S46" s="69"/>
      <c r="U46" s="69"/>
    </row>
    <row r="47" spans="1:21" ht="16.5">
      <c r="A47" s="18">
        <f>SpieleDB!A46</f>
        <v>45</v>
      </c>
      <c r="B47" s="38">
        <f>SpieleDB!J46</f>
        <v>43660</v>
      </c>
      <c r="C47" s="36">
        <f>SpieleDB!D46</f>
        <v>0.3333333333333333</v>
      </c>
      <c r="D47" s="18" t="str">
        <f>SpieleDB!F46</f>
        <v>WSF Liblar</v>
      </c>
      <c r="E47" s="31" t="s">
        <v>28</v>
      </c>
      <c r="F47" s="18" t="str">
        <f>SpieleDB!G46</f>
        <v>KP Münster</v>
      </c>
      <c r="H47" s="69" t="str">
        <f>Saisondaten!B30</f>
        <v>KRM Essen</v>
      </c>
      <c r="I47" s="69" t="str">
        <f>Saisondaten!B34</f>
        <v>KSVH Berlin</v>
      </c>
      <c r="J47" s="34" t="str">
        <f t="shared" si="1"/>
        <v>ja</v>
      </c>
      <c r="L47" s="69"/>
      <c r="M47" s="69"/>
      <c r="N47" s="69"/>
      <c r="O47" s="69"/>
      <c r="Q47" s="69"/>
      <c r="R47" s="69"/>
      <c r="S47" s="69"/>
      <c r="U47" s="69"/>
    </row>
    <row r="48" spans="1:21" ht="16.5">
      <c r="A48" s="18">
        <f>SpieleDB!A47</f>
        <v>46</v>
      </c>
      <c r="B48" s="38">
        <f>SpieleDB!J47</f>
        <v>43660</v>
      </c>
      <c r="C48" s="36">
        <f>SpieleDB!D47</f>
        <v>0.3611111111111111</v>
      </c>
      <c r="D48" s="18" t="str">
        <f>SpieleDB!F47</f>
        <v>PSC Coburg</v>
      </c>
      <c r="E48" s="31" t="s">
        <v>28</v>
      </c>
      <c r="F48" s="18" t="str">
        <f>SpieleDB!G47</f>
        <v>KCNW Berlin</v>
      </c>
      <c r="H48" s="69" t="str">
        <f>Saisondaten!B28</f>
        <v>ACC Hamburg</v>
      </c>
      <c r="I48" s="69" t="str">
        <f>Saisondaten!B32</f>
        <v>1. MKC Duisburg</v>
      </c>
      <c r="J48" s="34" t="str">
        <f t="shared" si="1"/>
        <v>ja</v>
      </c>
      <c r="L48" s="69"/>
      <c r="M48" s="69"/>
      <c r="N48" s="69"/>
      <c r="O48" s="69"/>
      <c r="Q48" s="69"/>
      <c r="R48" s="69"/>
      <c r="S48" s="69"/>
      <c r="U48" s="69"/>
    </row>
    <row r="49" spans="1:21" ht="16.5">
      <c r="A49" s="18">
        <f>SpieleDB!A48</f>
        <v>47</v>
      </c>
      <c r="B49" s="38">
        <f>SpieleDB!J48</f>
        <v>43660</v>
      </c>
      <c r="C49" s="36">
        <f>SpieleDB!D48</f>
        <v>0.388888888888889</v>
      </c>
      <c r="D49" s="18" t="str">
        <f>SpieleDB!F48</f>
        <v>KRM Essen</v>
      </c>
      <c r="E49" s="31" t="s">
        <v>28</v>
      </c>
      <c r="F49" s="18" t="str">
        <f>SpieleDB!G48</f>
        <v>KSVH Berlin</v>
      </c>
      <c r="H49" s="69" t="str">
        <f>Saisondaten!B33</f>
        <v>WSF Liblar</v>
      </c>
      <c r="I49" s="69" t="str">
        <f>Saisondaten!B35</f>
        <v>KP Münster</v>
      </c>
      <c r="J49" s="34" t="str">
        <f t="shared" si="1"/>
        <v>ja</v>
      </c>
      <c r="L49" s="69"/>
      <c r="M49" s="69"/>
      <c r="N49" s="69"/>
      <c r="O49" s="69"/>
      <c r="Q49" s="69"/>
      <c r="R49" s="69"/>
      <c r="S49" s="69"/>
      <c r="U49" s="69"/>
    </row>
    <row r="50" spans="1:21" ht="16.5">
      <c r="A50" s="18">
        <f>SpieleDB!A49</f>
        <v>48</v>
      </c>
      <c r="B50" s="38">
        <f>SpieleDB!J49</f>
        <v>43660</v>
      </c>
      <c r="C50" s="36">
        <f>SpieleDB!D49</f>
        <v>0.4166666666666667</v>
      </c>
      <c r="D50" s="18" t="str">
        <f>SpieleDB!F49</f>
        <v>ACC Hamburg</v>
      </c>
      <c r="E50" s="31" t="s">
        <v>28</v>
      </c>
      <c r="F50" s="18" t="str">
        <f>SpieleDB!G49</f>
        <v>1. MKC Duisburg</v>
      </c>
      <c r="H50" s="69" t="str">
        <f>Saisondaten!B29</f>
        <v>PSC Coburg</v>
      </c>
      <c r="I50" s="69" t="str">
        <f>Saisondaten!B31</f>
        <v>KCNW Berlin</v>
      </c>
      <c r="J50" s="34" t="str">
        <f t="shared" si="1"/>
        <v>ja</v>
      </c>
      <c r="L50" s="69"/>
      <c r="M50" s="69"/>
      <c r="N50" s="69"/>
      <c r="O50" s="69"/>
      <c r="Q50" s="69"/>
      <c r="R50" s="69"/>
      <c r="S50" s="69"/>
      <c r="U50" s="69"/>
    </row>
    <row r="51" spans="1:21" ht="16.5">
      <c r="A51" s="18">
        <f>SpieleDB!A50</f>
        <v>49</v>
      </c>
      <c r="B51" s="38">
        <f>SpieleDB!J50</f>
        <v>43660</v>
      </c>
      <c r="C51" s="36">
        <f>SpieleDB!D50</f>
        <v>0.44097222222222227</v>
      </c>
      <c r="D51" s="18" t="str">
        <f>SpieleDB!F50</f>
        <v>KCNW Berlin</v>
      </c>
      <c r="E51" s="31" t="s">
        <v>28</v>
      </c>
      <c r="F51" s="18" t="str">
        <f>SpieleDB!G50</f>
        <v>KP Münster</v>
      </c>
      <c r="H51" s="69" t="str">
        <f>Saisondaten!B28</f>
        <v>ACC Hamburg</v>
      </c>
      <c r="I51" s="69" t="str">
        <f>Saisondaten!B33</f>
        <v>WSF Liblar</v>
      </c>
      <c r="J51" s="34" t="str">
        <f t="shared" si="1"/>
        <v>ja</v>
      </c>
      <c r="L51" s="69"/>
      <c r="M51" s="69"/>
      <c r="N51" s="69"/>
      <c r="O51" s="69"/>
      <c r="Q51" s="69"/>
      <c r="R51" s="69"/>
      <c r="S51" s="69"/>
      <c r="U51" s="69"/>
    </row>
    <row r="52" spans="1:21" ht="16.5">
      <c r="A52" s="18">
        <f>SpieleDB!A51</f>
        <v>50</v>
      </c>
      <c r="B52" s="38">
        <f>SpieleDB!J51</f>
        <v>43660</v>
      </c>
      <c r="C52" s="36">
        <f>SpieleDB!D51</f>
        <v>0.46527777777777773</v>
      </c>
      <c r="D52" s="18" t="str">
        <f>SpieleDB!F51</f>
        <v>1. MKC Duisburg</v>
      </c>
      <c r="E52" s="31" t="s">
        <v>28</v>
      </c>
      <c r="F52" s="18" t="str">
        <f>SpieleDB!G51</f>
        <v>KSVH Berlin</v>
      </c>
      <c r="H52" s="69" t="str">
        <f>Saisondaten!B31</f>
        <v>KCNW Berlin</v>
      </c>
      <c r="I52" s="69" t="str">
        <f>Saisondaten!B35</f>
        <v>KP Münster</v>
      </c>
      <c r="J52" s="34" t="str">
        <f t="shared" si="1"/>
        <v>ja</v>
      </c>
      <c r="L52" s="69"/>
      <c r="M52" s="69"/>
      <c r="N52" s="69"/>
      <c r="O52" s="69"/>
      <c r="Q52" s="69"/>
      <c r="R52" s="69"/>
      <c r="S52" s="69"/>
      <c r="U52" s="69"/>
    </row>
    <row r="53" spans="1:21" ht="16.5">
      <c r="A53" s="18">
        <f>SpieleDB!A52</f>
        <v>51</v>
      </c>
      <c r="B53" s="38">
        <f>SpieleDB!J52</f>
        <v>43660</v>
      </c>
      <c r="C53" s="36">
        <f>SpieleDB!D52</f>
        <v>0.489583333333333</v>
      </c>
      <c r="D53" s="18" t="str">
        <f>SpieleDB!F52</f>
        <v>PSC Coburg</v>
      </c>
      <c r="E53" s="31" t="s">
        <v>28</v>
      </c>
      <c r="F53" s="18" t="str">
        <f>SpieleDB!G52</f>
        <v>KRM Essen</v>
      </c>
      <c r="H53" s="69" t="str">
        <f>Saisondaten!B32</f>
        <v>1. MKC Duisburg</v>
      </c>
      <c r="I53" s="69" t="str">
        <f>Saisondaten!B34</f>
        <v>KSVH Berlin</v>
      </c>
      <c r="J53" s="34" t="str">
        <f t="shared" si="1"/>
        <v>ja</v>
      </c>
      <c r="L53" s="69"/>
      <c r="M53" s="69"/>
      <c r="N53" s="69"/>
      <c r="O53" s="69"/>
      <c r="Q53" s="69"/>
      <c r="R53" s="69"/>
      <c r="S53" s="69"/>
      <c r="U53" s="69"/>
    </row>
    <row r="54" spans="1:21" ht="16.5">
      <c r="A54" s="18">
        <f>SpieleDB!A53</f>
        <v>52</v>
      </c>
      <c r="B54" s="38">
        <f>SpieleDB!J53</f>
        <v>43660</v>
      </c>
      <c r="C54" s="36">
        <f>SpieleDB!D53</f>
        <v>0.513888888888889</v>
      </c>
      <c r="D54" s="18" t="str">
        <f>SpieleDB!F53</f>
        <v>ACC Hamburg</v>
      </c>
      <c r="E54" s="31" t="s">
        <v>28</v>
      </c>
      <c r="F54" s="18" t="str">
        <f>SpieleDB!G53</f>
        <v>WSF Liblar</v>
      </c>
      <c r="H54" s="69" t="str">
        <f>Saisondaten!B29</f>
        <v>PSC Coburg</v>
      </c>
      <c r="I54" s="69" t="str">
        <f>Saisondaten!B30</f>
        <v>KRM Essen</v>
      </c>
      <c r="J54" s="34" t="str">
        <f t="shared" si="1"/>
        <v>ja</v>
      </c>
      <c r="L54" s="69"/>
      <c r="M54" s="69"/>
      <c r="N54" s="69"/>
      <c r="O54" s="69"/>
      <c r="Q54" s="69"/>
      <c r="R54" s="69"/>
      <c r="S54" s="69"/>
      <c r="U54" s="69"/>
    </row>
    <row r="55" spans="1:21" ht="16.5">
      <c r="A55" s="18">
        <f>SpieleDB!A54</f>
        <v>53</v>
      </c>
      <c r="B55" s="38">
        <f>SpieleDB!J54</f>
        <v>43660</v>
      </c>
      <c r="C55" s="36">
        <f>SpieleDB!D54</f>
        <v>0.538194444444444</v>
      </c>
      <c r="D55" s="18" t="str">
        <f>SpieleDB!F54</f>
        <v>KSVH Berlin</v>
      </c>
      <c r="E55" s="31" t="s">
        <v>28</v>
      </c>
      <c r="F55" s="18" t="str">
        <f>SpieleDB!G54</f>
        <v>KP Münster</v>
      </c>
      <c r="H55" s="69" t="str">
        <f>Saisondaten!B28</f>
        <v>ACC Hamburg</v>
      </c>
      <c r="I55" s="69" t="str">
        <f>Saisondaten!B29</f>
        <v>PSC Coburg</v>
      </c>
      <c r="J55" s="34" t="str">
        <f t="shared" si="1"/>
        <v>ja</v>
      </c>
      <c r="L55" s="69"/>
      <c r="M55" s="69"/>
      <c r="N55" s="69"/>
      <c r="O55" s="69"/>
      <c r="Q55" s="69"/>
      <c r="R55" s="69"/>
      <c r="S55" s="69"/>
      <c r="U55" s="69"/>
    </row>
    <row r="56" spans="1:21" ht="16.5">
      <c r="A56" s="18">
        <f>SpieleDB!A55</f>
        <v>54</v>
      </c>
      <c r="B56" s="38">
        <f>SpieleDB!J55</f>
        <v>43660</v>
      </c>
      <c r="C56" s="36">
        <f>SpieleDB!D55</f>
        <v>0.562499999999999</v>
      </c>
      <c r="D56" s="18" t="str">
        <f>SpieleDB!F55</f>
        <v>1. MKC Duisburg</v>
      </c>
      <c r="E56" s="31" t="s">
        <v>28</v>
      </c>
      <c r="F56" s="18" t="str">
        <f>SpieleDB!G55</f>
        <v>WSF Liblar</v>
      </c>
      <c r="H56" s="69" t="str">
        <f>Saisondaten!B35</f>
        <v>KP Münster</v>
      </c>
      <c r="I56" s="69" t="str">
        <f>Saisondaten!B34</f>
        <v>KSVH Berlin</v>
      </c>
      <c r="J56" s="34" t="str">
        <f t="shared" si="1"/>
        <v>ja</v>
      </c>
      <c r="L56" s="69"/>
      <c r="M56" s="69"/>
      <c r="N56" s="69"/>
      <c r="O56" s="69"/>
      <c r="Q56" s="69"/>
      <c r="R56" s="69"/>
      <c r="S56" s="69"/>
      <c r="U56" s="69"/>
    </row>
    <row r="57" spans="1:21" ht="16.5">
      <c r="A57" s="18">
        <f>SpieleDB!A56</f>
        <v>55</v>
      </c>
      <c r="B57" s="38">
        <f>SpieleDB!J56</f>
        <v>43660</v>
      </c>
      <c r="C57" s="36">
        <f>SpieleDB!D56</f>
        <v>0.586805555555555</v>
      </c>
      <c r="D57" s="18" t="str">
        <f>SpieleDB!F56</f>
        <v>KRM Essen</v>
      </c>
      <c r="E57" s="31" t="s">
        <v>28</v>
      </c>
      <c r="F57" s="18" t="str">
        <f>SpieleDB!G56</f>
        <v>KCNW Berlin</v>
      </c>
      <c r="H57" s="69" t="str">
        <f>Saisondaten!B33</f>
        <v>WSF Liblar</v>
      </c>
      <c r="I57" s="69" t="str">
        <f>Saisondaten!B32</f>
        <v>1. MKC Duisburg</v>
      </c>
      <c r="J57" s="34" t="str">
        <f t="shared" si="1"/>
        <v>ja</v>
      </c>
      <c r="L57" s="69"/>
      <c r="M57" s="69"/>
      <c r="N57" s="69"/>
      <c r="O57" s="69"/>
      <c r="Q57" s="69"/>
      <c r="R57" s="69"/>
      <c r="S57" s="69"/>
      <c r="U57" s="69"/>
    </row>
    <row r="58" spans="1:21" ht="16.5">
      <c r="A58" s="18">
        <f>SpieleDB!A57</f>
        <v>56</v>
      </c>
      <c r="B58" s="38">
        <f>SpieleDB!J57</f>
        <v>43660</v>
      </c>
      <c r="C58" s="36">
        <f>SpieleDB!D57</f>
        <v>0.61111111111111</v>
      </c>
      <c r="D58" s="18" t="str">
        <f>SpieleDB!F57</f>
        <v>ACC Hamburg</v>
      </c>
      <c r="E58" s="31" t="s">
        <v>28</v>
      </c>
      <c r="F58" s="18" t="str">
        <f>SpieleDB!G57</f>
        <v>PSC Coburg</v>
      </c>
      <c r="H58" s="69" t="str">
        <f>Saisondaten!B30</f>
        <v>KRM Essen</v>
      </c>
      <c r="I58" s="69" t="str">
        <f>Saisondaten!B31</f>
        <v>KCNW Berlin</v>
      </c>
      <c r="J58" s="34" t="str">
        <f t="shared" si="1"/>
        <v>ja</v>
      </c>
      <c r="L58" s="69"/>
      <c r="M58" s="69"/>
      <c r="N58" s="69"/>
      <c r="O58" s="69"/>
      <c r="Q58" s="69"/>
      <c r="R58" s="69"/>
      <c r="S58" s="69"/>
      <c r="U58" s="69"/>
    </row>
    <row r="59" spans="2:5" ht="16.5">
      <c r="B59" s="38"/>
      <c r="C59" s="36"/>
      <c r="E59" s="34"/>
    </row>
    <row r="60" spans="2:5" ht="16.5">
      <c r="B60" s="38"/>
      <c r="C60" s="36"/>
      <c r="E60" s="34"/>
    </row>
    <row r="61" spans="2:5" ht="16.5">
      <c r="B61" s="38"/>
      <c r="C61" s="36"/>
      <c r="E61" s="34"/>
    </row>
    <row r="62" spans="2:5" ht="16.5">
      <c r="B62" s="38"/>
      <c r="C62" s="36"/>
      <c r="E62" s="34"/>
    </row>
    <row r="63" spans="2:5" ht="16.5">
      <c r="B63" s="38"/>
      <c r="C63" s="36"/>
      <c r="E63" s="34"/>
    </row>
    <row r="64" spans="2:5" ht="16.5">
      <c r="B64" s="38"/>
      <c r="C64" s="36"/>
      <c r="E64" s="34"/>
    </row>
    <row r="65" spans="2:5" ht="16.5">
      <c r="B65" s="38"/>
      <c r="C65" s="36"/>
      <c r="E65" s="34"/>
    </row>
    <row r="66" spans="2:5" ht="16.5">
      <c r="B66" s="38"/>
      <c r="C66" s="36"/>
      <c r="E66" s="34"/>
    </row>
    <row r="67" spans="2:5" ht="16.5">
      <c r="B67" s="38"/>
      <c r="C67" s="36"/>
      <c r="E67" s="34"/>
    </row>
    <row r="68" spans="2:5" ht="16.5">
      <c r="B68" s="38"/>
      <c r="C68" s="36"/>
      <c r="E68" s="34"/>
    </row>
    <row r="69" spans="2:5" ht="16.5">
      <c r="B69" s="38"/>
      <c r="C69" s="36"/>
      <c r="E69" s="34"/>
    </row>
    <row r="70" spans="2:5" ht="16.5">
      <c r="B70" s="38"/>
      <c r="C70" s="36"/>
      <c r="E70" s="34"/>
    </row>
    <row r="71" spans="2:5" ht="16.5">
      <c r="B71" s="38"/>
      <c r="C71" s="36"/>
      <c r="E71" s="34"/>
    </row>
    <row r="72" spans="2:5" ht="16.5">
      <c r="B72" s="38"/>
      <c r="C72" s="36"/>
      <c r="E72" s="34"/>
    </row>
    <row r="73" spans="2:5" ht="16.5">
      <c r="B73" s="38"/>
      <c r="C73" s="36"/>
      <c r="E73" s="34"/>
    </row>
    <row r="74" spans="2:5" ht="16.5">
      <c r="B74" s="38"/>
      <c r="C74" s="36"/>
      <c r="E74" s="34"/>
    </row>
    <row r="75" spans="2:5" ht="16.5">
      <c r="B75" s="38"/>
      <c r="C75" s="36"/>
      <c r="E75" s="34"/>
    </row>
    <row r="76" spans="2:3" ht="16.5">
      <c r="B76" s="38"/>
      <c r="C76" s="36"/>
    </row>
    <row r="77" spans="2:3" ht="16.5">
      <c r="B77" s="38"/>
      <c r="C77" s="36"/>
    </row>
    <row r="78" spans="2:3" ht="16.5">
      <c r="B78" s="38"/>
      <c r="C78" s="36"/>
    </row>
    <row r="79" spans="2:3" ht="16.5">
      <c r="B79" s="38"/>
      <c r="C79" s="36"/>
    </row>
    <row r="80" spans="2:3" ht="16.5">
      <c r="B80" s="38"/>
      <c r="C80" s="36"/>
    </row>
    <row r="81" spans="2:3" ht="16.5">
      <c r="B81" s="38"/>
      <c r="C81" s="36"/>
    </row>
    <row r="82" spans="2:3" ht="16.5">
      <c r="B82" s="38"/>
      <c r="C82" s="36"/>
    </row>
    <row r="83" spans="2:3" ht="16.5">
      <c r="B83" s="38"/>
      <c r="C83" s="36"/>
    </row>
    <row r="84" spans="2:3" ht="16.5">
      <c r="B84" s="38"/>
      <c r="C84" s="36"/>
    </row>
    <row r="85" spans="2:3" ht="16.5">
      <c r="B85" s="38"/>
      <c r="C85" s="36"/>
    </row>
    <row r="86" spans="2:3" ht="16.5">
      <c r="B86" s="38"/>
      <c r="C86" s="36"/>
    </row>
  </sheetData>
  <sheetProtection sheet="1" objects="1" scenarios="1" selectLockedCells="1"/>
  <mergeCells count="6">
    <mergeCell ref="Q1:S1"/>
    <mergeCell ref="D1:F1"/>
    <mergeCell ref="A1:A2"/>
    <mergeCell ref="C1:C2"/>
    <mergeCell ref="H1:I1"/>
    <mergeCell ref="L1:O1"/>
  </mergeCells>
  <printOptions/>
  <pageMargins left="0.2362204724409449" right="0.15748031496062992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3:H35"/>
  <sheetViews>
    <sheetView showGridLines="0" zoomScalePageLayoutView="0" workbookViewId="0" topLeftCell="A1">
      <selection activeCell="D8" sqref="D8"/>
    </sheetView>
  </sheetViews>
  <sheetFormatPr defaultColWidth="11.421875" defaultRowHeight="15"/>
  <cols>
    <col min="1" max="1" width="22.28125" style="18" bestFit="1" customWidth="1"/>
    <col min="2" max="2" width="23.8515625" style="18" bestFit="1" customWidth="1"/>
    <col min="3" max="3" width="25.140625" style="18" bestFit="1" customWidth="1"/>
    <col min="4" max="4" width="20.28125" style="18" customWidth="1"/>
    <col min="5" max="16384" width="11.421875" style="18" customWidth="1"/>
  </cols>
  <sheetData>
    <row r="3" spans="1:2" ht="33">
      <c r="A3" s="56" t="s">
        <v>4</v>
      </c>
      <c r="B3" s="65">
        <v>2019</v>
      </c>
    </row>
    <row r="5" spans="1:4" ht="26.25">
      <c r="A5" s="239" t="s">
        <v>116</v>
      </c>
      <c r="B5" s="239"/>
      <c r="C5" s="239"/>
      <c r="D5" s="239"/>
    </row>
    <row r="6" spans="1:4" ht="16.5">
      <c r="A6" s="241" t="s">
        <v>14</v>
      </c>
      <c r="B6" s="243" t="s">
        <v>0</v>
      </c>
      <c r="C6" s="244"/>
      <c r="D6" s="75" t="s">
        <v>3</v>
      </c>
    </row>
    <row r="7" spans="1:4" ht="16.5">
      <c r="A7" s="242"/>
      <c r="B7" s="59" t="s">
        <v>21</v>
      </c>
      <c r="C7" s="60" t="s">
        <v>22</v>
      </c>
      <c r="D7" s="59" t="s">
        <v>118</v>
      </c>
    </row>
    <row r="8" spans="1:4" ht="16.5">
      <c r="A8" s="58" t="s">
        <v>1</v>
      </c>
      <c r="B8" s="62">
        <v>43596</v>
      </c>
      <c r="C8" s="63">
        <f>B8+1</f>
        <v>43597</v>
      </c>
      <c r="D8" s="64" t="s">
        <v>134</v>
      </c>
    </row>
    <row r="9" spans="1:4" ht="16.5">
      <c r="A9" s="58" t="s">
        <v>2</v>
      </c>
      <c r="B9" s="62">
        <v>43659</v>
      </c>
      <c r="C9" s="63">
        <f>B9+1</f>
        <v>43660</v>
      </c>
      <c r="D9" s="64" t="s">
        <v>135</v>
      </c>
    </row>
    <row r="10" spans="1:4" ht="16.5">
      <c r="A10" s="58" t="s">
        <v>117</v>
      </c>
      <c r="B10" s="62">
        <v>43686</v>
      </c>
      <c r="C10" s="63">
        <f>B10+2</f>
        <v>43688</v>
      </c>
      <c r="D10" s="64" t="s">
        <v>136</v>
      </c>
    </row>
    <row r="13" spans="1:4" ht="26.25">
      <c r="A13" s="239" t="s">
        <v>5</v>
      </c>
      <c r="B13" s="239"/>
      <c r="D13" s="76"/>
    </row>
    <row r="14" spans="1:4" ht="17.25">
      <c r="A14" s="240" t="s">
        <v>42</v>
      </c>
      <c r="B14" s="240"/>
      <c r="D14" s="31"/>
    </row>
    <row r="15" spans="1:4" ht="16.5">
      <c r="A15" s="57" t="s">
        <v>6</v>
      </c>
      <c r="B15" s="57" t="s">
        <v>121</v>
      </c>
      <c r="D15" s="76"/>
    </row>
    <row r="16" spans="1:4" ht="16.5">
      <c r="A16" s="57" t="s">
        <v>7</v>
      </c>
      <c r="B16" s="55" t="s">
        <v>19</v>
      </c>
      <c r="D16" s="76"/>
    </row>
    <row r="17" spans="1:8" ht="16.5">
      <c r="A17" s="57" t="s">
        <v>8</v>
      </c>
      <c r="B17" s="55" t="s">
        <v>129</v>
      </c>
      <c r="D17" s="76"/>
      <c r="G17" s="37"/>
      <c r="H17" s="37"/>
    </row>
    <row r="18" spans="1:8" ht="16.5">
      <c r="A18" s="57" t="s">
        <v>9</v>
      </c>
      <c r="B18" s="55" t="s">
        <v>130</v>
      </c>
      <c r="D18" s="76"/>
      <c r="G18" s="37"/>
      <c r="H18" s="37"/>
    </row>
    <row r="19" spans="1:8" ht="16.5">
      <c r="A19" s="57" t="s">
        <v>10</v>
      </c>
      <c r="B19" s="55" t="s">
        <v>20</v>
      </c>
      <c r="D19" s="76"/>
      <c r="G19" s="37"/>
      <c r="H19" s="37"/>
    </row>
    <row r="20" spans="1:8" ht="16.5">
      <c r="A20" s="57" t="s">
        <v>11</v>
      </c>
      <c r="B20" s="55" t="s">
        <v>131</v>
      </c>
      <c r="D20" s="76"/>
      <c r="G20" s="37"/>
      <c r="H20" s="37"/>
    </row>
    <row r="21" spans="1:8" ht="16.5">
      <c r="A21" s="57" t="s">
        <v>12</v>
      </c>
      <c r="B21" s="55" t="s">
        <v>132</v>
      </c>
      <c r="D21" s="76"/>
      <c r="G21" s="37"/>
      <c r="H21" s="37"/>
    </row>
    <row r="22" spans="1:4" ht="16.5">
      <c r="A22" s="57" t="s">
        <v>119</v>
      </c>
      <c r="B22" s="55" t="s">
        <v>133</v>
      </c>
      <c r="D22" s="76"/>
    </row>
    <row r="23" spans="1:4" ht="16.5">
      <c r="A23" s="57" t="s">
        <v>120</v>
      </c>
      <c r="B23" s="55" t="s">
        <v>128</v>
      </c>
      <c r="D23" s="76"/>
    </row>
    <row r="24" ht="16.5">
      <c r="D24" s="76"/>
    </row>
    <row r="25" spans="1:4" ht="17.25">
      <c r="A25" s="78" t="s">
        <v>115</v>
      </c>
      <c r="B25" s="78"/>
      <c r="D25" s="76"/>
    </row>
    <row r="26" spans="1:4" ht="16.5">
      <c r="A26" s="58" t="s">
        <v>43</v>
      </c>
      <c r="B26" s="61" t="str">
        <f>IF(TabellenDB!Q14=56,"ja","nein")</f>
        <v>ja</v>
      </c>
      <c r="D26" s="76"/>
    </row>
    <row r="27" spans="1:2" ht="16.5">
      <c r="A27" s="57" t="s">
        <v>6</v>
      </c>
      <c r="B27" s="57" t="s">
        <v>121</v>
      </c>
    </row>
    <row r="28" spans="1:2" ht="16.5">
      <c r="A28" s="57" t="s">
        <v>7</v>
      </c>
      <c r="B28" s="18" t="str">
        <f>IF($B$26="nein",$A28&amp;B$27,TabellenDB!O41)</f>
        <v>ACC Hamburg</v>
      </c>
    </row>
    <row r="29" spans="1:2" ht="16.5">
      <c r="A29" s="57" t="s">
        <v>8</v>
      </c>
      <c r="B29" s="18" t="str">
        <f>IF($B$26="nein",$A29&amp;B$27,TabellenDB!O42)</f>
        <v>PSC Coburg</v>
      </c>
    </row>
    <row r="30" spans="1:2" ht="16.5">
      <c r="A30" s="57" t="s">
        <v>9</v>
      </c>
      <c r="B30" s="18" t="str">
        <f>IF($B$26="nein",$A30&amp;B$27,TabellenDB!O43)</f>
        <v>KRM Essen</v>
      </c>
    </row>
    <row r="31" spans="1:2" ht="16.5">
      <c r="A31" s="57" t="s">
        <v>10</v>
      </c>
      <c r="B31" s="18" t="str">
        <f>IF($B$26="nein",$A31&amp;B$27,TabellenDB!O44)</f>
        <v>KCNW Berlin</v>
      </c>
    </row>
    <row r="32" spans="1:2" ht="16.5">
      <c r="A32" s="57" t="s">
        <v>11</v>
      </c>
      <c r="B32" s="18" t="str">
        <f>IF($B$26="nein",$A32&amp;B$27,TabellenDB!O45)</f>
        <v>1. MKC Duisburg</v>
      </c>
    </row>
    <row r="33" spans="1:2" ht="16.5">
      <c r="A33" s="57" t="s">
        <v>12</v>
      </c>
      <c r="B33" s="18" t="str">
        <f>IF($B$26="nein",$A33&amp;B$27,TabellenDB!O46)</f>
        <v>WSF Liblar</v>
      </c>
    </row>
    <row r="34" spans="1:2" ht="16.5">
      <c r="A34" s="57" t="s">
        <v>119</v>
      </c>
      <c r="B34" s="18" t="str">
        <f>IF($B$26="nein",$A34&amp;B$27,TabellenDB!O47)</f>
        <v>KSVH Berlin</v>
      </c>
    </row>
    <row r="35" spans="1:2" ht="16.5">
      <c r="A35" s="57" t="s">
        <v>120</v>
      </c>
      <c r="B35" s="18" t="str">
        <f>IF($B$26="nein",$A35&amp;B$27,TabellenDB!O48)</f>
        <v>KP Münster</v>
      </c>
    </row>
  </sheetData>
  <sheetProtection sheet="1" selectLockedCells="1"/>
  <mergeCells count="5">
    <mergeCell ref="A5:D5"/>
    <mergeCell ref="A13:B13"/>
    <mergeCell ref="A14:B14"/>
    <mergeCell ref="A6:A7"/>
    <mergeCell ref="B6:C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F2" sqref="F2"/>
    </sheetView>
  </sheetViews>
  <sheetFormatPr defaultColWidth="11.421875" defaultRowHeight="15"/>
  <cols>
    <col min="1" max="1" width="15.28125" style="0" bestFit="1" customWidth="1"/>
    <col min="2" max="2" width="4.00390625" style="0" bestFit="1" customWidth="1"/>
    <col min="3" max="3" width="6.28125" style="0" bestFit="1" customWidth="1"/>
    <col min="4" max="4" width="8.8515625" style="0" bestFit="1" customWidth="1"/>
    <col min="5" max="5" width="17.8515625" style="0" bestFit="1" customWidth="1"/>
    <col min="6" max="6" width="13.57421875" style="0" customWidth="1"/>
  </cols>
  <sheetData>
    <row r="1" spans="1:6" ht="15">
      <c r="A1" t="s">
        <v>55</v>
      </c>
      <c r="B1" t="s">
        <v>40</v>
      </c>
      <c r="C1" t="s">
        <v>50</v>
      </c>
      <c r="D1" t="s">
        <v>13</v>
      </c>
      <c r="E1" t="s">
        <v>14</v>
      </c>
      <c r="F1" t="s">
        <v>15</v>
      </c>
    </row>
    <row r="2" spans="1:6" ht="15">
      <c r="A2" t="str">
        <f>Saisondaten!$B$16</f>
        <v>ACC Hamburg</v>
      </c>
      <c r="B2">
        <v>1</v>
      </c>
      <c r="C2" t="str">
        <f>IF(OR(D2=0,E2=0,F2=0),"nein","ja")</f>
        <v>nein</v>
      </c>
      <c r="D2">
        <f>Spielerdaten!A6</f>
        <v>0</v>
      </c>
      <c r="E2">
        <f>Spielerdaten!B6</f>
        <v>0</v>
      </c>
      <c r="F2">
        <f>Spielerdaten!C6</f>
        <v>0</v>
      </c>
    </row>
    <row r="3" spans="1:6" ht="15">
      <c r="A3" t="str">
        <f>Saisondaten!$B$16</f>
        <v>ACC Hamburg</v>
      </c>
      <c r="B3">
        <v>2</v>
      </c>
      <c r="C3" t="str">
        <f aca="true" t="shared" si="0" ref="C3:C66">IF(OR(D3=0,E3=0,F3=0),"nein","ja")</f>
        <v>nein</v>
      </c>
      <c r="D3">
        <f>Spielerdaten!A7</f>
        <v>0</v>
      </c>
      <c r="E3">
        <f>Spielerdaten!B7</f>
        <v>0</v>
      </c>
      <c r="F3">
        <f>Spielerdaten!C7</f>
        <v>0</v>
      </c>
    </row>
    <row r="4" spans="1:6" ht="15">
      <c r="A4" t="str">
        <f>Saisondaten!$B$16</f>
        <v>ACC Hamburg</v>
      </c>
      <c r="B4">
        <v>3</v>
      </c>
      <c r="C4" t="str">
        <f t="shared" si="0"/>
        <v>nein</v>
      </c>
      <c r="D4">
        <f>Spielerdaten!A8</f>
        <v>0</v>
      </c>
      <c r="E4">
        <f>Spielerdaten!B8</f>
        <v>0</v>
      </c>
      <c r="F4">
        <f>Spielerdaten!C8</f>
        <v>0</v>
      </c>
    </row>
    <row r="5" spans="1:6" ht="15">
      <c r="A5" t="str">
        <f>Saisondaten!$B$16</f>
        <v>ACC Hamburg</v>
      </c>
      <c r="B5">
        <v>4</v>
      </c>
      <c r="C5" t="str">
        <f t="shared" si="0"/>
        <v>nein</v>
      </c>
      <c r="D5">
        <f>Spielerdaten!A9</f>
        <v>0</v>
      </c>
      <c r="E5">
        <f>Spielerdaten!B9</f>
        <v>0</v>
      </c>
      <c r="F5">
        <f>Spielerdaten!C9</f>
        <v>0</v>
      </c>
    </row>
    <row r="6" spans="1:6" ht="15">
      <c r="A6" t="str">
        <f>Saisondaten!$B$16</f>
        <v>ACC Hamburg</v>
      </c>
      <c r="B6">
        <v>5</v>
      </c>
      <c r="C6" t="str">
        <f t="shared" si="0"/>
        <v>nein</v>
      </c>
      <c r="D6">
        <f>Spielerdaten!A10</f>
        <v>0</v>
      </c>
      <c r="E6">
        <f>Spielerdaten!B10</f>
        <v>0</v>
      </c>
      <c r="F6">
        <f>Spielerdaten!C10</f>
        <v>0</v>
      </c>
    </row>
    <row r="7" spans="1:6" ht="15">
      <c r="A7" t="str">
        <f>Saisondaten!$B$16</f>
        <v>ACC Hamburg</v>
      </c>
      <c r="B7">
        <v>6</v>
      </c>
      <c r="C7" t="str">
        <f t="shared" si="0"/>
        <v>nein</v>
      </c>
      <c r="D7">
        <f>Spielerdaten!A11</f>
        <v>0</v>
      </c>
      <c r="E7">
        <f>Spielerdaten!B11</f>
        <v>0</v>
      </c>
      <c r="F7">
        <f>Spielerdaten!C11</f>
        <v>0</v>
      </c>
    </row>
    <row r="8" spans="1:6" ht="15">
      <c r="A8" t="str">
        <f>Saisondaten!$B$16</f>
        <v>ACC Hamburg</v>
      </c>
      <c r="B8">
        <v>7</v>
      </c>
      <c r="C8" t="str">
        <f t="shared" si="0"/>
        <v>nein</v>
      </c>
      <c r="D8">
        <f>Spielerdaten!A12</f>
        <v>0</v>
      </c>
      <c r="E8">
        <f>Spielerdaten!B12</f>
        <v>0</v>
      </c>
      <c r="F8">
        <f>Spielerdaten!C12</f>
        <v>0</v>
      </c>
    </row>
    <row r="9" spans="1:6" ht="15">
      <c r="A9" t="str">
        <f>Saisondaten!$B$16</f>
        <v>ACC Hamburg</v>
      </c>
      <c r="B9">
        <v>8</v>
      </c>
      <c r="C9" t="str">
        <f t="shared" si="0"/>
        <v>nein</v>
      </c>
      <c r="D9">
        <f>Spielerdaten!A13</f>
        <v>0</v>
      </c>
      <c r="E9">
        <f>Spielerdaten!B13</f>
        <v>0</v>
      </c>
      <c r="F9">
        <f>Spielerdaten!C13</f>
        <v>0</v>
      </c>
    </row>
    <row r="10" spans="1:6" ht="15">
      <c r="A10" t="str">
        <f>Saisondaten!$B$16</f>
        <v>ACC Hamburg</v>
      </c>
      <c r="B10">
        <v>9</v>
      </c>
      <c r="C10" t="str">
        <f t="shared" si="0"/>
        <v>nein</v>
      </c>
      <c r="D10">
        <f>Spielerdaten!A14</f>
        <v>0</v>
      </c>
      <c r="E10">
        <f>Spielerdaten!B14</f>
        <v>0</v>
      </c>
      <c r="F10">
        <f>Spielerdaten!C14</f>
        <v>0</v>
      </c>
    </row>
    <row r="11" spans="1:6" ht="15">
      <c r="A11" t="str">
        <f>Saisondaten!$B$16</f>
        <v>ACC Hamburg</v>
      </c>
      <c r="B11">
        <v>10</v>
      </c>
      <c r="C11" t="str">
        <f t="shared" si="0"/>
        <v>nein</v>
      </c>
      <c r="D11">
        <f>Spielerdaten!A15</f>
        <v>0</v>
      </c>
      <c r="E11">
        <f>Spielerdaten!B15</f>
        <v>0</v>
      </c>
      <c r="F11">
        <f>Spielerdaten!C15</f>
        <v>0</v>
      </c>
    </row>
    <row r="12" spans="1:6" ht="15">
      <c r="A12" t="str">
        <f>Saisondaten!$B$17</f>
        <v>KRM Essen</v>
      </c>
      <c r="B12">
        <v>11</v>
      </c>
      <c r="C12" t="str">
        <f t="shared" si="0"/>
        <v>nein</v>
      </c>
      <c r="D12">
        <f>Spielerdaten!E6</f>
        <v>0</v>
      </c>
      <c r="E12">
        <f>Spielerdaten!F6</f>
        <v>0</v>
      </c>
      <c r="F12">
        <f>Spielerdaten!G6</f>
        <v>0</v>
      </c>
    </row>
    <row r="13" spans="1:6" ht="15">
      <c r="A13" t="str">
        <f>Saisondaten!$B$17</f>
        <v>KRM Essen</v>
      </c>
      <c r="B13">
        <v>12</v>
      </c>
      <c r="C13" t="str">
        <f t="shared" si="0"/>
        <v>nein</v>
      </c>
      <c r="D13">
        <f>Spielerdaten!E7</f>
        <v>0</v>
      </c>
      <c r="E13">
        <f>Spielerdaten!F7</f>
        <v>0</v>
      </c>
      <c r="F13">
        <f>Spielerdaten!G7</f>
        <v>0</v>
      </c>
    </row>
    <row r="14" spans="1:6" ht="15">
      <c r="A14" t="str">
        <f>Saisondaten!$B$17</f>
        <v>KRM Essen</v>
      </c>
      <c r="B14">
        <v>13</v>
      </c>
      <c r="C14" t="str">
        <f t="shared" si="0"/>
        <v>nein</v>
      </c>
      <c r="D14">
        <f>Spielerdaten!E8</f>
        <v>0</v>
      </c>
      <c r="E14">
        <f>Spielerdaten!F8</f>
        <v>0</v>
      </c>
      <c r="F14">
        <f>Spielerdaten!G8</f>
        <v>0</v>
      </c>
    </row>
    <row r="15" spans="1:6" ht="15">
      <c r="A15" t="str">
        <f>Saisondaten!$B$17</f>
        <v>KRM Essen</v>
      </c>
      <c r="B15">
        <v>14</v>
      </c>
      <c r="C15" t="str">
        <f t="shared" si="0"/>
        <v>nein</v>
      </c>
      <c r="D15">
        <f>Spielerdaten!E9</f>
        <v>0</v>
      </c>
      <c r="E15">
        <f>Spielerdaten!F9</f>
        <v>0</v>
      </c>
      <c r="F15">
        <f>Spielerdaten!G9</f>
        <v>0</v>
      </c>
    </row>
    <row r="16" spans="1:6" ht="15">
      <c r="A16" t="str">
        <f>Saisondaten!$B$17</f>
        <v>KRM Essen</v>
      </c>
      <c r="B16">
        <v>15</v>
      </c>
      <c r="C16" t="str">
        <f t="shared" si="0"/>
        <v>nein</v>
      </c>
      <c r="D16">
        <f>Spielerdaten!E10</f>
        <v>0</v>
      </c>
      <c r="E16">
        <f>Spielerdaten!F10</f>
        <v>0</v>
      </c>
      <c r="F16">
        <f>Spielerdaten!G10</f>
        <v>0</v>
      </c>
    </row>
    <row r="17" spans="1:6" ht="15">
      <c r="A17" t="str">
        <f>Saisondaten!$B$17</f>
        <v>KRM Essen</v>
      </c>
      <c r="B17">
        <v>16</v>
      </c>
      <c r="C17" t="str">
        <f t="shared" si="0"/>
        <v>nein</v>
      </c>
      <c r="D17">
        <f>Spielerdaten!E11</f>
        <v>0</v>
      </c>
      <c r="E17">
        <f>Spielerdaten!F11</f>
        <v>0</v>
      </c>
      <c r="F17">
        <f>Spielerdaten!G11</f>
        <v>0</v>
      </c>
    </row>
    <row r="18" spans="1:6" ht="15">
      <c r="A18" t="str">
        <f>Saisondaten!$B$17</f>
        <v>KRM Essen</v>
      </c>
      <c r="B18">
        <v>17</v>
      </c>
      <c r="C18" t="str">
        <f t="shared" si="0"/>
        <v>nein</v>
      </c>
      <c r="D18">
        <f>Spielerdaten!E12</f>
        <v>0</v>
      </c>
      <c r="E18">
        <f>Spielerdaten!F12</f>
        <v>0</v>
      </c>
      <c r="F18">
        <f>Spielerdaten!G12</f>
        <v>0</v>
      </c>
    </row>
    <row r="19" spans="1:6" ht="15">
      <c r="A19" t="str">
        <f>Saisondaten!$B$17</f>
        <v>KRM Essen</v>
      </c>
      <c r="B19">
        <v>18</v>
      </c>
      <c r="C19" t="str">
        <f t="shared" si="0"/>
        <v>nein</v>
      </c>
      <c r="D19">
        <f>Spielerdaten!E13</f>
        <v>0</v>
      </c>
      <c r="E19">
        <f>Spielerdaten!F13</f>
        <v>0</v>
      </c>
      <c r="F19">
        <f>Spielerdaten!G13</f>
        <v>0</v>
      </c>
    </row>
    <row r="20" spans="1:6" ht="15">
      <c r="A20" t="str">
        <f>Saisondaten!$B$17</f>
        <v>KRM Essen</v>
      </c>
      <c r="B20">
        <v>19</v>
      </c>
      <c r="C20" t="str">
        <f t="shared" si="0"/>
        <v>nein</v>
      </c>
      <c r="D20">
        <f>Spielerdaten!E14</f>
        <v>0</v>
      </c>
      <c r="E20">
        <f>Spielerdaten!F14</f>
        <v>0</v>
      </c>
      <c r="F20">
        <f>Spielerdaten!G14</f>
        <v>0</v>
      </c>
    </row>
    <row r="21" spans="1:6" ht="15">
      <c r="A21" t="str">
        <f>Saisondaten!$B$17</f>
        <v>KRM Essen</v>
      </c>
      <c r="B21">
        <v>20</v>
      </c>
      <c r="C21" t="str">
        <f t="shared" si="0"/>
        <v>nein</v>
      </c>
      <c r="D21">
        <f>Spielerdaten!E15</f>
        <v>0</v>
      </c>
      <c r="E21">
        <f>Spielerdaten!F15</f>
        <v>0</v>
      </c>
      <c r="F21">
        <f>Spielerdaten!G15</f>
        <v>0</v>
      </c>
    </row>
    <row r="22" spans="1:6" ht="15">
      <c r="A22" t="str">
        <f>Saisondaten!$B$18</f>
        <v>PSC Coburg</v>
      </c>
      <c r="B22">
        <v>21</v>
      </c>
      <c r="C22" t="str">
        <f t="shared" si="0"/>
        <v>nein</v>
      </c>
      <c r="D22">
        <f>Spielerdaten!I6</f>
        <v>0</v>
      </c>
      <c r="E22">
        <f>Spielerdaten!J6</f>
        <v>0</v>
      </c>
      <c r="F22">
        <f>Spielerdaten!K6</f>
        <v>0</v>
      </c>
    </row>
    <row r="23" spans="1:6" ht="15">
      <c r="A23" t="str">
        <f>Saisondaten!$B$18</f>
        <v>PSC Coburg</v>
      </c>
      <c r="B23">
        <v>22</v>
      </c>
      <c r="C23" t="str">
        <f t="shared" si="0"/>
        <v>nein</v>
      </c>
      <c r="D23">
        <f>Spielerdaten!I7</f>
        <v>0</v>
      </c>
      <c r="E23">
        <f>Spielerdaten!J7</f>
        <v>0</v>
      </c>
      <c r="F23">
        <f>Spielerdaten!K7</f>
        <v>0</v>
      </c>
    </row>
    <row r="24" spans="1:6" ht="15">
      <c r="A24" t="str">
        <f>Saisondaten!$B$18</f>
        <v>PSC Coburg</v>
      </c>
      <c r="B24">
        <v>23</v>
      </c>
      <c r="C24" t="str">
        <f t="shared" si="0"/>
        <v>nein</v>
      </c>
      <c r="D24">
        <f>Spielerdaten!I8</f>
        <v>0</v>
      </c>
      <c r="E24">
        <f>Spielerdaten!J8</f>
        <v>0</v>
      </c>
      <c r="F24">
        <f>Spielerdaten!K8</f>
        <v>0</v>
      </c>
    </row>
    <row r="25" spans="1:6" ht="15">
      <c r="A25" t="str">
        <f>Saisondaten!$B$18</f>
        <v>PSC Coburg</v>
      </c>
      <c r="B25">
        <v>24</v>
      </c>
      <c r="C25" t="str">
        <f t="shared" si="0"/>
        <v>nein</v>
      </c>
      <c r="D25">
        <f>Spielerdaten!I9</f>
        <v>0</v>
      </c>
      <c r="E25">
        <f>Spielerdaten!J9</f>
        <v>0</v>
      </c>
      <c r="F25">
        <f>Spielerdaten!K9</f>
        <v>0</v>
      </c>
    </row>
    <row r="26" spans="1:6" ht="15">
      <c r="A26" t="str">
        <f>Saisondaten!$B$18</f>
        <v>PSC Coburg</v>
      </c>
      <c r="B26">
        <v>25</v>
      </c>
      <c r="C26" t="str">
        <f t="shared" si="0"/>
        <v>nein</v>
      </c>
      <c r="D26">
        <f>Spielerdaten!I10</f>
        <v>0</v>
      </c>
      <c r="E26">
        <f>Spielerdaten!J10</f>
        <v>0</v>
      </c>
      <c r="F26">
        <f>Spielerdaten!K10</f>
        <v>0</v>
      </c>
    </row>
    <row r="27" spans="1:6" ht="15">
      <c r="A27" t="str">
        <f>Saisondaten!$B$18</f>
        <v>PSC Coburg</v>
      </c>
      <c r="B27">
        <v>26</v>
      </c>
      <c r="C27" t="str">
        <f t="shared" si="0"/>
        <v>nein</v>
      </c>
      <c r="D27">
        <f>Spielerdaten!I11</f>
        <v>0</v>
      </c>
      <c r="E27">
        <f>Spielerdaten!J11</f>
        <v>0</v>
      </c>
      <c r="F27">
        <f>Spielerdaten!K11</f>
        <v>0</v>
      </c>
    </row>
    <row r="28" spans="1:6" ht="15">
      <c r="A28" t="str">
        <f>Saisondaten!$B$18</f>
        <v>PSC Coburg</v>
      </c>
      <c r="B28">
        <v>27</v>
      </c>
      <c r="C28" t="str">
        <f t="shared" si="0"/>
        <v>nein</v>
      </c>
      <c r="D28">
        <f>Spielerdaten!I12</f>
        <v>0</v>
      </c>
      <c r="E28">
        <f>Spielerdaten!J12</f>
        <v>0</v>
      </c>
      <c r="F28">
        <f>Spielerdaten!K12</f>
        <v>0</v>
      </c>
    </row>
    <row r="29" spans="1:6" ht="15">
      <c r="A29" t="str">
        <f>Saisondaten!$B$18</f>
        <v>PSC Coburg</v>
      </c>
      <c r="B29">
        <v>28</v>
      </c>
      <c r="C29" t="str">
        <f t="shared" si="0"/>
        <v>nein</v>
      </c>
      <c r="D29">
        <f>Spielerdaten!I13</f>
        <v>0</v>
      </c>
      <c r="E29">
        <f>Spielerdaten!J13</f>
        <v>0</v>
      </c>
      <c r="F29">
        <f>Spielerdaten!K13</f>
        <v>0</v>
      </c>
    </row>
    <row r="30" spans="1:6" ht="15">
      <c r="A30" t="str">
        <f>Saisondaten!$B$18</f>
        <v>PSC Coburg</v>
      </c>
      <c r="B30">
        <v>29</v>
      </c>
      <c r="C30" t="str">
        <f t="shared" si="0"/>
        <v>nein</v>
      </c>
      <c r="D30">
        <f>Spielerdaten!I14</f>
        <v>0</v>
      </c>
      <c r="E30">
        <f>Spielerdaten!J14</f>
        <v>0</v>
      </c>
      <c r="F30">
        <f>Spielerdaten!K14</f>
        <v>0</v>
      </c>
    </row>
    <row r="31" spans="1:6" ht="15">
      <c r="A31" t="str">
        <f>Saisondaten!$B$18</f>
        <v>PSC Coburg</v>
      </c>
      <c r="B31">
        <v>30</v>
      </c>
      <c r="C31" t="str">
        <f t="shared" si="0"/>
        <v>nein</v>
      </c>
      <c r="D31">
        <f>Spielerdaten!I15</f>
        <v>0</v>
      </c>
      <c r="E31">
        <f>Spielerdaten!J15</f>
        <v>0</v>
      </c>
      <c r="F31">
        <f>Spielerdaten!K15</f>
        <v>0</v>
      </c>
    </row>
    <row r="32" spans="1:6" ht="15">
      <c r="A32" t="str">
        <f>Saisondaten!$B$19</f>
        <v>KCNW Berlin</v>
      </c>
      <c r="B32">
        <v>31</v>
      </c>
      <c r="C32" t="str">
        <f t="shared" si="0"/>
        <v>nein</v>
      </c>
      <c r="D32">
        <f>Spielerdaten!M6</f>
        <v>0</v>
      </c>
      <c r="E32">
        <f>Spielerdaten!N6</f>
        <v>0</v>
      </c>
      <c r="F32">
        <f>Spielerdaten!O6</f>
        <v>0</v>
      </c>
    </row>
    <row r="33" spans="1:6" ht="15">
      <c r="A33" t="str">
        <f>Saisondaten!$B$19</f>
        <v>KCNW Berlin</v>
      </c>
      <c r="B33">
        <v>32</v>
      </c>
      <c r="C33" t="str">
        <f t="shared" si="0"/>
        <v>nein</v>
      </c>
      <c r="D33">
        <f>Spielerdaten!M7</f>
        <v>0</v>
      </c>
      <c r="E33">
        <f>Spielerdaten!N7</f>
        <v>0</v>
      </c>
      <c r="F33">
        <f>Spielerdaten!O7</f>
        <v>0</v>
      </c>
    </row>
    <row r="34" spans="1:6" ht="15">
      <c r="A34" t="str">
        <f>Saisondaten!$B$19</f>
        <v>KCNW Berlin</v>
      </c>
      <c r="B34">
        <v>33</v>
      </c>
      <c r="C34" t="str">
        <f t="shared" si="0"/>
        <v>nein</v>
      </c>
      <c r="D34">
        <f>Spielerdaten!M8</f>
        <v>0</v>
      </c>
      <c r="E34">
        <f>Spielerdaten!N8</f>
        <v>0</v>
      </c>
      <c r="F34">
        <f>Spielerdaten!O8</f>
        <v>0</v>
      </c>
    </row>
    <row r="35" spans="1:6" ht="15">
      <c r="A35" t="str">
        <f>Saisondaten!$B$19</f>
        <v>KCNW Berlin</v>
      </c>
      <c r="B35">
        <v>34</v>
      </c>
      <c r="C35" t="str">
        <f t="shared" si="0"/>
        <v>nein</v>
      </c>
      <c r="D35">
        <f>Spielerdaten!M9</f>
        <v>0</v>
      </c>
      <c r="E35">
        <f>Spielerdaten!N9</f>
        <v>0</v>
      </c>
      <c r="F35">
        <f>Spielerdaten!O9</f>
        <v>0</v>
      </c>
    </row>
    <row r="36" spans="1:6" ht="15">
      <c r="A36" t="str">
        <f>Saisondaten!$B$19</f>
        <v>KCNW Berlin</v>
      </c>
      <c r="B36">
        <v>35</v>
      </c>
      <c r="C36" t="str">
        <f t="shared" si="0"/>
        <v>nein</v>
      </c>
      <c r="D36">
        <f>Spielerdaten!M10</f>
        <v>0</v>
      </c>
      <c r="E36">
        <f>Spielerdaten!N10</f>
        <v>0</v>
      </c>
      <c r="F36">
        <f>Spielerdaten!O10</f>
        <v>0</v>
      </c>
    </row>
    <row r="37" spans="1:6" ht="15">
      <c r="A37" t="str">
        <f>Saisondaten!$B$19</f>
        <v>KCNW Berlin</v>
      </c>
      <c r="B37">
        <v>36</v>
      </c>
      <c r="C37" t="str">
        <f t="shared" si="0"/>
        <v>nein</v>
      </c>
      <c r="D37">
        <f>Spielerdaten!M11</f>
        <v>0</v>
      </c>
      <c r="E37">
        <f>Spielerdaten!N11</f>
        <v>0</v>
      </c>
      <c r="F37">
        <f>Spielerdaten!O11</f>
        <v>0</v>
      </c>
    </row>
    <row r="38" spans="1:6" ht="15">
      <c r="A38" t="str">
        <f>Saisondaten!$B$19</f>
        <v>KCNW Berlin</v>
      </c>
      <c r="B38">
        <v>37</v>
      </c>
      <c r="C38" t="str">
        <f t="shared" si="0"/>
        <v>nein</v>
      </c>
      <c r="D38">
        <f>Spielerdaten!M12</f>
        <v>0</v>
      </c>
      <c r="E38">
        <f>Spielerdaten!N12</f>
        <v>0</v>
      </c>
      <c r="F38">
        <f>Spielerdaten!O12</f>
        <v>0</v>
      </c>
    </row>
    <row r="39" spans="1:6" ht="15">
      <c r="A39" t="str">
        <f>Saisondaten!$B$19</f>
        <v>KCNW Berlin</v>
      </c>
      <c r="B39">
        <v>38</v>
      </c>
      <c r="C39" t="str">
        <f t="shared" si="0"/>
        <v>nein</v>
      </c>
      <c r="D39">
        <f>Spielerdaten!M13</f>
        <v>0</v>
      </c>
      <c r="E39">
        <f>Spielerdaten!N13</f>
        <v>0</v>
      </c>
      <c r="F39">
        <f>Spielerdaten!O13</f>
        <v>0</v>
      </c>
    </row>
    <row r="40" spans="1:6" ht="15">
      <c r="A40" t="str">
        <f>Saisondaten!$B$19</f>
        <v>KCNW Berlin</v>
      </c>
      <c r="B40">
        <v>39</v>
      </c>
      <c r="C40" t="str">
        <f t="shared" si="0"/>
        <v>nein</v>
      </c>
      <c r="D40">
        <f>Spielerdaten!M14</f>
        <v>0</v>
      </c>
      <c r="E40">
        <f>Spielerdaten!N14</f>
        <v>0</v>
      </c>
      <c r="F40">
        <f>Spielerdaten!O14</f>
        <v>0</v>
      </c>
    </row>
    <row r="41" spans="1:6" ht="15">
      <c r="A41" t="str">
        <f>Saisondaten!$B$19</f>
        <v>KCNW Berlin</v>
      </c>
      <c r="B41">
        <v>40</v>
      </c>
      <c r="C41" t="str">
        <f t="shared" si="0"/>
        <v>nein</v>
      </c>
      <c r="D41">
        <f>Spielerdaten!M15</f>
        <v>0</v>
      </c>
      <c r="E41">
        <f>Spielerdaten!N15</f>
        <v>0</v>
      </c>
      <c r="F41">
        <f>Spielerdaten!O15</f>
        <v>0</v>
      </c>
    </row>
    <row r="42" spans="1:6" ht="15">
      <c r="A42" t="str">
        <f>Saisondaten!$B$20</f>
        <v>WSF Liblar</v>
      </c>
      <c r="B42">
        <v>41</v>
      </c>
      <c r="C42" t="str">
        <f t="shared" si="0"/>
        <v>nein</v>
      </c>
      <c r="D42">
        <f>Spielerdaten!A20</f>
        <v>0</v>
      </c>
      <c r="E42">
        <f>Spielerdaten!B20</f>
        <v>0</v>
      </c>
      <c r="F42">
        <f>Spielerdaten!C20</f>
        <v>0</v>
      </c>
    </row>
    <row r="43" spans="1:6" ht="15">
      <c r="A43" t="str">
        <f>Saisondaten!$B$20</f>
        <v>WSF Liblar</v>
      </c>
      <c r="B43">
        <v>42</v>
      </c>
      <c r="C43" t="str">
        <f t="shared" si="0"/>
        <v>nein</v>
      </c>
      <c r="D43">
        <f>Spielerdaten!A21</f>
        <v>0</v>
      </c>
      <c r="E43">
        <f>Spielerdaten!B21</f>
        <v>0</v>
      </c>
      <c r="F43">
        <f>Spielerdaten!C21</f>
        <v>0</v>
      </c>
    </row>
    <row r="44" spans="1:6" ht="15">
      <c r="A44" t="str">
        <f>Saisondaten!$B$20</f>
        <v>WSF Liblar</v>
      </c>
      <c r="B44">
        <v>43</v>
      </c>
      <c r="C44" t="str">
        <f t="shared" si="0"/>
        <v>nein</v>
      </c>
      <c r="D44">
        <f>Spielerdaten!A22</f>
        <v>0</v>
      </c>
      <c r="E44">
        <f>Spielerdaten!B22</f>
        <v>0</v>
      </c>
      <c r="F44">
        <f>Spielerdaten!C22</f>
        <v>0</v>
      </c>
    </row>
    <row r="45" spans="1:6" ht="15">
      <c r="A45" t="str">
        <f>Saisondaten!$B$20</f>
        <v>WSF Liblar</v>
      </c>
      <c r="B45">
        <v>44</v>
      </c>
      <c r="C45" t="str">
        <f t="shared" si="0"/>
        <v>nein</v>
      </c>
      <c r="D45">
        <f>Spielerdaten!A23</f>
        <v>0</v>
      </c>
      <c r="E45">
        <f>Spielerdaten!B23</f>
        <v>0</v>
      </c>
      <c r="F45">
        <f>Spielerdaten!C23</f>
        <v>0</v>
      </c>
    </row>
    <row r="46" spans="1:6" ht="15">
      <c r="A46" t="str">
        <f>Saisondaten!$B$20</f>
        <v>WSF Liblar</v>
      </c>
      <c r="B46">
        <v>45</v>
      </c>
      <c r="C46" t="str">
        <f t="shared" si="0"/>
        <v>nein</v>
      </c>
      <c r="D46">
        <f>Spielerdaten!A24</f>
        <v>0</v>
      </c>
      <c r="E46">
        <f>Spielerdaten!B24</f>
        <v>0</v>
      </c>
      <c r="F46">
        <f>Spielerdaten!C24</f>
        <v>0</v>
      </c>
    </row>
    <row r="47" spans="1:6" ht="15">
      <c r="A47" t="str">
        <f>Saisondaten!$B$20</f>
        <v>WSF Liblar</v>
      </c>
      <c r="B47">
        <v>46</v>
      </c>
      <c r="C47" t="str">
        <f t="shared" si="0"/>
        <v>nein</v>
      </c>
      <c r="D47">
        <f>Spielerdaten!A25</f>
        <v>0</v>
      </c>
      <c r="E47">
        <f>Spielerdaten!B25</f>
        <v>0</v>
      </c>
      <c r="F47">
        <f>Spielerdaten!C25</f>
        <v>0</v>
      </c>
    </row>
    <row r="48" spans="1:6" ht="15">
      <c r="A48" t="str">
        <f>Saisondaten!$B$20</f>
        <v>WSF Liblar</v>
      </c>
      <c r="B48">
        <v>47</v>
      </c>
      <c r="C48" t="str">
        <f t="shared" si="0"/>
        <v>nein</v>
      </c>
      <c r="D48">
        <f>Spielerdaten!A26</f>
        <v>0</v>
      </c>
      <c r="E48">
        <f>Spielerdaten!B26</f>
        <v>0</v>
      </c>
      <c r="F48">
        <f>Spielerdaten!C26</f>
        <v>0</v>
      </c>
    </row>
    <row r="49" spans="1:6" ht="15">
      <c r="A49" t="str">
        <f>Saisondaten!$B$20</f>
        <v>WSF Liblar</v>
      </c>
      <c r="B49">
        <v>48</v>
      </c>
      <c r="C49" t="str">
        <f t="shared" si="0"/>
        <v>nein</v>
      </c>
      <c r="D49">
        <f>Spielerdaten!A27</f>
        <v>0</v>
      </c>
      <c r="E49">
        <f>Spielerdaten!B27</f>
        <v>0</v>
      </c>
      <c r="F49">
        <f>Spielerdaten!C27</f>
        <v>0</v>
      </c>
    </row>
    <row r="50" spans="1:6" ht="15">
      <c r="A50" t="str">
        <f>Saisondaten!$B$20</f>
        <v>WSF Liblar</v>
      </c>
      <c r="B50">
        <v>49</v>
      </c>
      <c r="C50" t="str">
        <f t="shared" si="0"/>
        <v>nein</v>
      </c>
      <c r="D50">
        <f>Spielerdaten!A28</f>
        <v>0</v>
      </c>
      <c r="E50">
        <f>Spielerdaten!B28</f>
        <v>0</v>
      </c>
      <c r="F50">
        <f>Spielerdaten!C28</f>
        <v>0</v>
      </c>
    </row>
    <row r="51" spans="1:6" ht="15">
      <c r="A51" t="str">
        <f>Saisondaten!$B$20</f>
        <v>WSF Liblar</v>
      </c>
      <c r="B51">
        <v>50</v>
      </c>
      <c r="C51" t="str">
        <f t="shared" si="0"/>
        <v>nein</v>
      </c>
      <c r="D51">
        <f>Spielerdaten!A29</f>
        <v>0</v>
      </c>
      <c r="E51">
        <f>Spielerdaten!B29</f>
        <v>0</v>
      </c>
      <c r="F51">
        <f>Spielerdaten!C29</f>
        <v>0</v>
      </c>
    </row>
    <row r="52" spans="1:6" ht="15">
      <c r="A52" t="str">
        <f>Saisondaten!$B$21</f>
        <v>KSVH Berlin</v>
      </c>
      <c r="B52">
        <v>51</v>
      </c>
      <c r="C52" t="str">
        <f t="shared" si="0"/>
        <v>nein</v>
      </c>
      <c r="D52">
        <f>Spielerdaten!E20</f>
        <v>0</v>
      </c>
      <c r="E52">
        <f>Spielerdaten!F20</f>
        <v>0</v>
      </c>
      <c r="F52">
        <f>Spielerdaten!G20</f>
        <v>0</v>
      </c>
    </row>
    <row r="53" spans="1:6" ht="15">
      <c r="A53" t="str">
        <f>Saisondaten!$B$21</f>
        <v>KSVH Berlin</v>
      </c>
      <c r="B53">
        <v>52</v>
      </c>
      <c r="C53" t="str">
        <f t="shared" si="0"/>
        <v>nein</v>
      </c>
      <c r="D53">
        <f>Spielerdaten!E21</f>
        <v>0</v>
      </c>
      <c r="E53">
        <f>Spielerdaten!F21</f>
        <v>0</v>
      </c>
      <c r="F53">
        <f>Spielerdaten!G21</f>
        <v>0</v>
      </c>
    </row>
    <row r="54" spans="1:6" ht="15">
      <c r="A54" t="str">
        <f>Saisondaten!$B$21</f>
        <v>KSVH Berlin</v>
      </c>
      <c r="B54">
        <v>53</v>
      </c>
      <c r="C54" t="str">
        <f t="shared" si="0"/>
        <v>nein</v>
      </c>
      <c r="D54">
        <f>Spielerdaten!E22</f>
        <v>0</v>
      </c>
      <c r="E54">
        <f>Spielerdaten!F22</f>
        <v>0</v>
      </c>
      <c r="F54">
        <f>Spielerdaten!G22</f>
        <v>0</v>
      </c>
    </row>
    <row r="55" spans="1:6" ht="15">
      <c r="A55" t="str">
        <f>Saisondaten!$B$21</f>
        <v>KSVH Berlin</v>
      </c>
      <c r="B55">
        <v>54</v>
      </c>
      <c r="C55" t="str">
        <f t="shared" si="0"/>
        <v>nein</v>
      </c>
      <c r="D55">
        <f>Spielerdaten!E23</f>
        <v>0</v>
      </c>
      <c r="E55">
        <f>Spielerdaten!F23</f>
        <v>0</v>
      </c>
      <c r="F55">
        <f>Spielerdaten!G23</f>
        <v>0</v>
      </c>
    </row>
    <row r="56" spans="1:6" ht="15">
      <c r="A56" t="str">
        <f>Saisondaten!$B$21</f>
        <v>KSVH Berlin</v>
      </c>
      <c r="B56">
        <v>55</v>
      </c>
      <c r="C56" t="str">
        <f t="shared" si="0"/>
        <v>nein</v>
      </c>
      <c r="D56">
        <f>Spielerdaten!E24</f>
        <v>0</v>
      </c>
      <c r="E56">
        <f>Spielerdaten!F24</f>
        <v>0</v>
      </c>
      <c r="F56">
        <f>Spielerdaten!G24</f>
        <v>0</v>
      </c>
    </row>
    <row r="57" spans="1:6" ht="15">
      <c r="A57" t="str">
        <f>Saisondaten!$B$21</f>
        <v>KSVH Berlin</v>
      </c>
      <c r="B57">
        <v>56</v>
      </c>
      <c r="C57" t="str">
        <f t="shared" si="0"/>
        <v>nein</v>
      </c>
      <c r="D57">
        <f>Spielerdaten!E25</f>
        <v>0</v>
      </c>
      <c r="E57">
        <f>Spielerdaten!F25</f>
        <v>0</v>
      </c>
      <c r="F57">
        <f>Spielerdaten!G25</f>
        <v>0</v>
      </c>
    </row>
    <row r="58" spans="1:6" ht="15">
      <c r="A58" t="str">
        <f>Saisondaten!$B$21</f>
        <v>KSVH Berlin</v>
      </c>
      <c r="B58">
        <v>57</v>
      </c>
      <c r="C58" t="str">
        <f t="shared" si="0"/>
        <v>nein</v>
      </c>
      <c r="D58">
        <f>Spielerdaten!E26</f>
        <v>0</v>
      </c>
      <c r="E58">
        <f>Spielerdaten!F26</f>
        <v>0</v>
      </c>
      <c r="F58">
        <f>Spielerdaten!G26</f>
        <v>0</v>
      </c>
    </row>
    <row r="59" spans="1:6" ht="15">
      <c r="A59" t="str">
        <f>Saisondaten!$B$21</f>
        <v>KSVH Berlin</v>
      </c>
      <c r="B59">
        <v>58</v>
      </c>
      <c r="C59" t="str">
        <f t="shared" si="0"/>
        <v>nein</v>
      </c>
      <c r="D59">
        <f>Spielerdaten!E27</f>
        <v>0</v>
      </c>
      <c r="E59">
        <f>Spielerdaten!F27</f>
        <v>0</v>
      </c>
      <c r="F59">
        <f>Spielerdaten!G27</f>
        <v>0</v>
      </c>
    </row>
    <row r="60" spans="1:6" ht="15">
      <c r="A60" t="str">
        <f>Saisondaten!$B$21</f>
        <v>KSVH Berlin</v>
      </c>
      <c r="B60">
        <v>59</v>
      </c>
      <c r="C60" t="str">
        <f t="shared" si="0"/>
        <v>nein</v>
      </c>
      <c r="D60">
        <f>Spielerdaten!E28</f>
        <v>0</v>
      </c>
      <c r="E60">
        <f>Spielerdaten!F28</f>
        <v>0</v>
      </c>
      <c r="F60">
        <f>Spielerdaten!G28</f>
        <v>0</v>
      </c>
    </row>
    <row r="61" spans="1:6" ht="15">
      <c r="A61" t="str">
        <f>Saisondaten!$B$21</f>
        <v>KSVH Berlin</v>
      </c>
      <c r="B61">
        <v>60</v>
      </c>
      <c r="C61" t="str">
        <f t="shared" si="0"/>
        <v>nein</v>
      </c>
      <c r="D61">
        <f>Spielerdaten!E29</f>
        <v>0</v>
      </c>
      <c r="E61">
        <f>Spielerdaten!F29</f>
        <v>0</v>
      </c>
      <c r="F61">
        <f>Spielerdaten!G29</f>
        <v>0</v>
      </c>
    </row>
    <row r="62" spans="1:6" ht="15">
      <c r="A62" t="str">
        <f>Saisondaten!$B$22</f>
        <v>1. MKC Duisburg</v>
      </c>
      <c r="B62">
        <v>61</v>
      </c>
      <c r="C62" t="str">
        <f t="shared" si="0"/>
        <v>nein</v>
      </c>
      <c r="D62">
        <f>Spielerdaten!I20</f>
        <v>0</v>
      </c>
      <c r="E62">
        <f>Spielerdaten!J20</f>
        <v>0</v>
      </c>
      <c r="F62">
        <f>Spielerdaten!K20</f>
        <v>0</v>
      </c>
    </row>
    <row r="63" spans="1:6" ht="15">
      <c r="A63" t="str">
        <f>Saisondaten!$B$22</f>
        <v>1. MKC Duisburg</v>
      </c>
      <c r="B63">
        <v>62</v>
      </c>
      <c r="C63" t="str">
        <f t="shared" si="0"/>
        <v>nein</v>
      </c>
      <c r="D63">
        <f>Spielerdaten!I21</f>
        <v>0</v>
      </c>
      <c r="E63">
        <f>Spielerdaten!J21</f>
        <v>0</v>
      </c>
      <c r="F63">
        <f>Spielerdaten!K21</f>
        <v>0</v>
      </c>
    </row>
    <row r="64" spans="1:6" ht="15">
      <c r="A64" t="str">
        <f>Saisondaten!$B$22</f>
        <v>1. MKC Duisburg</v>
      </c>
      <c r="B64">
        <v>63</v>
      </c>
      <c r="C64" t="str">
        <f t="shared" si="0"/>
        <v>nein</v>
      </c>
      <c r="D64">
        <f>Spielerdaten!I22</f>
        <v>0</v>
      </c>
      <c r="E64">
        <f>Spielerdaten!J22</f>
        <v>0</v>
      </c>
      <c r="F64">
        <f>Spielerdaten!K22</f>
        <v>0</v>
      </c>
    </row>
    <row r="65" spans="1:6" ht="15">
      <c r="A65" t="str">
        <f>Saisondaten!$B$22</f>
        <v>1. MKC Duisburg</v>
      </c>
      <c r="B65">
        <v>64</v>
      </c>
      <c r="C65" t="str">
        <f t="shared" si="0"/>
        <v>nein</v>
      </c>
      <c r="D65">
        <f>Spielerdaten!I23</f>
        <v>0</v>
      </c>
      <c r="E65">
        <f>Spielerdaten!J23</f>
        <v>0</v>
      </c>
      <c r="F65">
        <f>Spielerdaten!K23</f>
        <v>0</v>
      </c>
    </row>
    <row r="66" spans="1:6" ht="15">
      <c r="A66" t="str">
        <f>Saisondaten!$B$22</f>
        <v>1. MKC Duisburg</v>
      </c>
      <c r="B66">
        <v>65</v>
      </c>
      <c r="C66" t="str">
        <f t="shared" si="0"/>
        <v>nein</v>
      </c>
      <c r="D66">
        <f>Spielerdaten!I24</f>
        <v>0</v>
      </c>
      <c r="E66">
        <f>Spielerdaten!J24</f>
        <v>0</v>
      </c>
      <c r="F66">
        <f>Spielerdaten!K24</f>
        <v>0</v>
      </c>
    </row>
    <row r="67" spans="1:6" ht="15">
      <c r="A67" t="str">
        <f>Saisondaten!$B$22</f>
        <v>1. MKC Duisburg</v>
      </c>
      <c r="B67">
        <v>66</v>
      </c>
      <c r="C67" t="str">
        <f aca="true" t="shared" si="1" ref="C67:C81">IF(OR(D67=0,E67=0,F67=0),"nein","ja")</f>
        <v>nein</v>
      </c>
      <c r="D67">
        <f>Spielerdaten!I25</f>
        <v>0</v>
      </c>
      <c r="E67">
        <f>Spielerdaten!J25</f>
        <v>0</v>
      </c>
      <c r="F67">
        <f>Spielerdaten!K25</f>
        <v>0</v>
      </c>
    </row>
    <row r="68" spans="1:6" ht="15">
      <c r="A68" t="str">
        <f>Saisondaten!$B$22</f>
        <v>1. MKC Duisburg</v>
      </c>
      <c r="B68">
        <v>67</v>
      </c>
      <c r="C68" t="str">
        <f t="shared" si="1"/>
        <v>nein</v>
      </c>
      <c r="D68">
        <f>Spielerdaten!I26</f>
        <v>0</v>
      </c>
      <c r="E68">
        <f>Spielerdaten!J26</f>
        <v>0</v>
      </c>
      <c r="F68">
        <f>Spielerdaten!K26</f>
        <v>0</v>
      </c>
    </row>
    <row r="69" spans="1:6" ht="15">
      <c r="A69" t="str">
        <f>Saisondaten!$B$22</f>
        <v>1. MKC Duisburg</v>
      </c>
      <c r="B69">
        <v>68</v>
      </c>
      <c r="C69" t="str">
        <f t="shared" si="1"/>
        <v>nein</v>
      </c>
      <c r="D69">
        <f>Spielerdaten!I27</f>
        <v>0</v>
      </c>
      <c r="E69">
        <f>Spielerdaten!J27</f>
        <v>0</v>
      </c>
      <c r="F69">
        <f>Spielerdaten!K27</f>
        <v>0</v>
      </c>
    </row>
    <row r="70" spans="1:6" ht="15">
      <c r="A70" t="str">
        <f>Saisondaten!$B$22</f>
        <v>1. MKC Duisburg</v>
      </c>
      <c r="B70">
        <v>69</v>
      </c>
      <c r="C70" t="str">
        <f t="shared" si="1"/>
        <v>nein</v>
      </c>
      <c r="D70">
        <f>Spielerdaten!I28</f>
        <v>0</v>
      </c>
      <c r="E70">
        <f>Spielerdaten!J28</f>
        <v>0</v>
      </c>
      <c r="F70">
        <f>Spielerdaten!K28</f>
        <v>0</v>
      </c>
    </row>
    <row r="71" spans="1:6" ht="15">
      <c r="A71" t="str">
        <f>Saisondaten!$B$22</f>
        <v>1. MKC Duisburg</v>
      </c>
      <c r="B71">
        <v>70</v>
      </c>
      <c r="C71" t="str">
        <f t="shared" si="1"/>
        <v>nein</v>
      </c>
      <c r="D71">
        <f>Spielerdaten!I29</f>
        <v>0</v>
      </c>
      <c r="E71">
        <f>Spielerdaten!J29</f>
        <v>0</v>
      </c>
      <c r="F71">
        <f>Spielerdaten!K29</f>
        <v>0</v>
      </c>
    </row>
    <row r="72" spans="1:6" ht="15">
      <c r="A72" t="str">
        <f>Saisondaten!$B$23</f>
        <v>KP Münster</v>
      </c>
      <c r="B72">
        <v>71</v>
      </c>
      <c r="C72" t="str">
        <f t="shared" si="1"/>
        <v>nein</v>
      </c>
      <c r="D72">
        <f>Spielerdaten!M20</f>
        <v>0</v>
      </c>
      <c r="E72">
        <f>Spielerdaten!N20</f>
        <v>0</v>
      </c>
      <c r="F72">
        <f>Spielerdaten!O20</f>
        <v>0</v>
      </c>
    </row>
    <row r="73" spans="1:6" ht="15">
      <c r="A73" t="str">
        <f>Saisondaten!$B$23</f>
        <v>KP Münster</v>
      </c>
      <c r="B73">
        <v>72</v>
      </c>
      <c r="C73" t="str">
        <f t="shared" si="1"/>
        <v>nein</v>
      </c>
      <c r="D73">
        <f>Spielerdaten!M21</f>
        <v>0</v>
      </c>
      <c r="E73">
        <f>Spielerdaten!N21</f>
        <v>0</v>
      </c>
      <c r="F73">
        <f>Spielerdaten!O21</f>
        <v>0</v>
      </c>
    </row>
    <row r="74" spans="1:6" ht="15">
      <c r="A74" t="str">
        <f>Saisondaten!$B$23</f>
        <v>KP Münster</v>
      </c>
      <c r="B74">
        <v>73</v>
      </c>
      <c r="C74" t="str">
        <f t="shared" si="1"/>
        <v>nein</v>
      </c>
      <c r="D74">
        <f>Spielerdaten!M22</f>
        <v>0</v>
      </c>
      <c r="E74">
        <f>Spielerdaten!N22</f>
        <v>0</v>
      </c>
      <c r="F74">
        <f>Spielerdaten!O22</f>
        <v>0</v>
      </c>
    </row>
    <row r="75" spans="1:6" ht="15">
      <c r="A75" t="str">
        <f>Saisondaten!$B$23</f>
        <v>KP Münster</v>
      </c>
      <c r="B75">
        <v>74</v>
      </c>
      <c r="C75" t="str">
        <f t="shared" si="1"/>
        <v>nein</v>
      </c>
      <c r="D75">
        <f>Spielerdaten!M23</f>
        <v>0</v>
      </c>
      <c r="E75">
        <f>Spielerdaten!N23</f>
        <v>0</v>
      </c>
      <c r="F75">
        <f>Spielerdaten!O23</f>
        <v>0</v>
      </c>
    </row>
    <row r="76" spans="1:6" ht="15">
      <c r="A76" t="str">
        <f>Saisondaten!$B$23</f>
        <v>KP Münster</v>
      </c>
      <c r="B76">
        <v>75</v>
      </c>
      <c r="C76" t="str">
        <f t="shared" si="1"/>
        <v>nein</v>
      </c>
      <c r="D76">
        <f>Spielerdaten!M24</f>
        <v>0</v>
      </c>
      <c r="E76">
        <f>Spielerdaten!N24</f>
        <v>0</v>
      </c>
      <c r="F76">
        <f>Spielerdaten!O24</f>
        <v>0</v>
      </c>
    </row>
    <row r="77" spans="1:6" ht="15">
      <c r="A77" t="str">
        <f>Saisondaten!$B$23</f>
        <v>KP Münster</v>
      </c>
      <c r="B77">
        <v>76</v>
      </c>
      <c r="C77" t="str">
        <f t="shared" si="1"/>
        <v>nein</v>
      </c>
      <c r="D77">
        <f>Spielerdaten!M25</f>
        <v>0</v>
      </c>
      <c r="E77">
        <f>Spielerdaten!N25</f>
        <v>0</v>
      </c>
      <c r="F77">
        <f>Spielerdaten!O25</f>
        <v>0</v>
      </c>
    </row>
    <row r="78" spans="1:6" ht="15">
      <c r="A78" t="str">
        <f>Saisondaten!$B$23</f>
        <v>KP Münster</v>
      </c>
      <c r="B78">
        <v>77</v>
      </c>
      <c r="C78" t="str">
        <f t="shared" si="1"/>
        <v>nein</v>
      </c>
      <c r="D78">
        <f>Spielerdaten!M26</f>
        <v>0</v>
      </c>
      <c r="E78">
        <f>Spielerdaten!N26</f>
        <v>0</v>
      </c>
      <c r="F78">
        <f>Spielerdaten!O26</f>
        <v>0</v>
      </c>
    </row>
    <row r="79" spans="1:6" ht="15">
      <c r="A79" t="str">
        <f>Saisondaten!$B$23</f>
        <v>KP Münster</v>
      </c>
      <c r="B79">
        <v>78</v>
      </c>
      <c r="C79" t="str">
        <f t="shared" si="1"/>
        <v>nein</v>
      </c>
      <c r="D79">
        <f>Spielerdaten!M27</f>
        <v>0</v>
      </c>
      <c r="E79">
        <f>Spielerdaten!N27</f>
        <v>0</v>
      </c>
      <c r="F79">
        <f>Spielerdaten!O27</f>
        <v>0</v>
      </c>
    </row>
    <row r="80" spans="1:6" ht="15">
      <c r="A80" t="str">
        <f>Saisondaten!$B$23</f>
        <v>KP Münster</v>
      </c>
      <c r="B80">
        <v>79</v>
      </c>
      <c r="C80" t="str">
        <f t="shared" si="1"/>
        <v>nein</v>
      </c>
      <c r="D80">
        <f>Spielerdaten!M28</f>
        <v>0</v>
      </c>
      <c r="E80">
        <f>Spielerdaten!N28</f>
        <v>0</v>
      </c>
      <c r="F80">
        <f>Spielerdaten!O28</f>
        <v>0</v>
      </c>
    </row>
    <row r="81" spans="1:6" ht="15">
      <c r="A81" t="str">
        <f>Saisondaten!$B$23</f>
        <v>KP Münster</v>
      </c>
      <c r="B81">
        <v>80</v>
      </c>
      <c r="C81" t="str">
        <f t="shared" si="1"/>
        <v>nein</v>
      </c>
      <c r="D81">
        <f>Spielerdaten!M29</f>
        <v>0</v>
      </c>
      <c r="E81">
        <f>Spielerdaten!N29</f>
        <v>0</v>
      </c>
      <c r="F81">
        <f>Spielerdaten!O29</f>
        <v>0</v>
      </c>
    </row>
  </sheetData>
  <sheetProtection sheet="1" selectLockedCell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Kanupolo Bundesliga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Bundesliga Saisontabelle</dc:title>
  <dc:subject/>
  <dc:creator>Hans Kürsten</dc:creator>
  <cp:keywords/>
  <dc:description/>
  <cp:lastModifiedBy>Hans Kürsten</cp:lastModifiedBy>
  <cp:lastPrinted>2019-02-08T15:11:54Z</cp:lastPrinted>
  <dcterms:created xsi:type="dcterms:W3CDTF">2015-11-27T13:51:15Z</dcterms:created>
  <dcterms:modified xsi:type="dcterms:W3CDTF">2019-06-27T14:57:44Z</dcterms:modified>
  <cp:category/>
  <cp:version/>
  <cp:contentType/>
  <cp:contentStatus/>
</cp:coreProperties>
</file>