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5" activeTab="8"/>
  </bookViews>
  <sheets>
    <sheet name="Übersicht" sheetId="1" r:id="rId1"/>
    <sheet name="Protokoll" sheetId="2" r:id="rId2"/>
    <sheet name="Spielerdaten" sheetId="3" r:id="rId3"/>
    <sheet name="Tabelle" sheetId="4" r:id="rId4"/>
    <sheet name="Endplatzierungen" sheetId="5" r:id="rId5"/>
    <sheet name="1.Spieltag" sheetId="6" r:id="rId6"/>
    <sheet name="2.Spieltag" sheetId="7" r:id="rId7"/>
    <sheet name="3.Spieltag" sheetId="8" r:id="rId8"/>
    <sheet name="4.Spieltag" sheetId="9" r:id="rId9"/>
    <sheet name="Playoff-Playdowns" sheetId="10" r:id="rId10"/>
    <sheet name="Playdowntabelle" sheetId="11" r:id="rId11"/>
    <sheet name="Playoff System" sheetId="12" r:id="rId12"/>
    <sheet name="Schiedsrichter" sheetId="13" r:id="rId13"/>
    <sheet name="Saisondaten" sheetId="14" state="hidden" r:id="rId14"/>
    <sheet name="SpielerDB" sheetId="15" state="hidden" r:id="rId15"/>
    <sheet name="SpieleDB" sheetId="16" state="hidden" r:id="rId16"/>
    <sheet name="TabellenDB" sheetId="17" state="hidden" r:id="rId17"/>
  </sheets>
  <definedNames>
    <definedName name="_xlnm.Print_Area" localSheetId="5">'1.Spieltag'!$A$1:$N$45</definedName>
    <definedName name="_xlnm.Print_Area" localSheetId="6">'2.Spieltag'!$A$1:$N$46</definedName>
    <definedName name="_xlnm.Print_Area" localSheetId="7">'3.Spieltag'!$A$1:$N$45</definedName>
    <definedName name="_xlnm.Print_Area" localSheetId="8">'4.Spieltag'!$A$1:$N$46</definedName>
    <definedName name="_xlnm.Print_Area" localSheetId="10">'Playdowntabelle'!$B$2:$M$11</definedName>
    <definedName name="_xlnm.Print_Area" localSheetId="11">'Playoff System'!$A$1:$O$34</definedName>
    <definedName name="_xlnm.Print_Area" localSheetId="9">'Playoff-Playdowns'!$A$1:$N$52</definedName>
    <definedName name="_xlnm.Print_Area" localSheetId="1">'Protokoll'!$B$2:$S$51</definedName>
    <definedName name="_xlnm.Print_Area" localSheetId="12">'Schiedsrichter'!$A$1:$U$203</definedName>
    <definedName name="_xlnm.Print_Area" localSheetId="2">'Spielerdaten'!$A$1:$W$29</definedName>
    <definedName name="_xlnm.Print_Area" localSheetId="3">'Tabelle'!$B$2:$N$19</definedName>
    <definedName name="_xlnm.Print_Area" localSheetId="0">'Übersicht'!$A$1:$I$38</definedName>
    <definedName name="Z_3D27BF9C_2975_499B_AEAD_8946D9740FF2_.wvu.Cols" localSheetId="8" hidden="1">'4.Spieltag'!$P:$BX</definedName>
    <definedName name="Z_3D27BF9C_2975_499B_AEAD_8946D9740FF2_.wvu.Cols" localSheetId="9" hidden="1">'Playoff-Playdowns'!$P:$BW</definedName>
    <definedName name="Z_3D27BF9C_2975_499B_AEAD_8946D9740FF2_.wvu.PrintArea" localSheetId="5" hidden="1">'1.Spieltag'!$A$1:$N$45</definedName>
    <definedName name="Z_3D27BF9C_2975_499B_AEAD_8946D9740FF2_.wvu.PrintArea" localSheetId="6" hidden="1">'2.Spieltag'!$A$1:$N$46</definedName>
    <definedName name="Z_3D27BF9C_2975_499B_AEAD_8946D9740FF2_.wvu.PrintArea" localSheetId="7" hidden="1">'3.Spieltag'!$A$1:$N$45</definedName>
    <definedName name="Z_3D27BF9C_2975_499B_AEAD_8946D9740FF2_.wvu.PrintArea" localSheetId="8" hidden="1">'4.Spieltag'!$A$1:$N$46</definedName>
    <definedName name="Z_3D27BF9C_2975_499B_AEAD_8946D9740FF2_.wvu.PrintArea" localSheetId="10" hidden="1">'Playdowntabelle'!$B$2:$M$19</definedName>
    <definedName name="Z_3D27BF9C_2975_499B_AEAD_8946D9740FF2_.wvu.PrintArea" localSheetId="9" hidden="1">'Playoff-Playdowns'!$A$1:$N$43</definedName>
    <definedName name="Z_3D27BF9C_2975_499B_AEAD_8946D9740FF2_.wvu.PrintArea" localSheetId="1" hidden="1">'Protokoll'!$B$2:$S$51</definedName>
    <definedName name="Z_3D27BF9C_2975_499B_AEAD_8946D9740FF2_.wvu.PrintArea" localSheetId="12" hidden="1">'Schiedsrichter'!$A$1:$U$203</definedName>
    <definedName name="Z_3D27BF9C_2975_499B_AEAD_8946D9740FF2_.wvu.PrintArea" localSheetId="2" hidden="1">'Spielerdaten'!$A$1:$W$29</definedName>
    <definedName name="Z_3D27BF9C_2975_499B_AEAD_8946D9740FF2_.wvu.PrintArea" localSheetId="3" hidden="1">'Tabelle'!$B$2:$N$19</definedName>
    <definedName name="Z_3D27BF9C_2975_499B_AEAD_8946D9740FF2_.wvu.Rows" localSheetId="1" hidden="1">'Protokoll'!$55:$65</definedName>
  </definedNames>
  <calcPr fullCalcOnLoad="1"/>
</workbook>
</file>

<file path=xl/sharedStrings.xml><?xml version="1.0" encoding="utf-8"?>
<sst xmlns="http://schemas.openxmlformats.org/spreadsheetml/2006/main" count="2081" uniqueCount="277">
  <si>
    <t>Datum</t>
  </si>
  <si>
    <t>1. Spieltag</t>
  </si>
  <si>
    <t>2. Spieltag</t>
  </si>
  <si>
    <t>3. Spieltag</t>
  </si>
  <si>
    <t>4. Spieltag</t>
  </si>
  <si>
    <t>Ort</t>
  </si>
  <si>
    <t>Saison</t>
  </si>
  <si>
    <t>Mannschaften</t>
  </si>
  <si>
    <t>Gruppe</t>
  </si>
  <si>
    <t>A</t>
  </si>
  <si>
    <t>B</t>
  </si>
  <si>
    <t>1.</t>
  </si>
  <si>
    <t>2.</t>
  </si>
  <si>
    <t>3.</t>
  </si>
  <si>
    <t>4.</t>
  </si>
  <si>
    <t>5.</t>
  </si>
  <si>
    <t>6.</t>
  </si>
  <si>
    <t>Nummer</t>
  </si>
  <si>
    <t>Name</t>
  </si>
  <si>
    <t>Vorname</t>
  </si>
  <si>
    <t>Groß (G)/Klein (K)</t>
  </si>
  <si>
    <t>G</t>
  </si>
  <si>
    <t>K</t>
  </si>
  <si>
    <t>-</t>
  </si>
  <si>
    <t>Berne</t>
  </si>
  <si>
    <t>Göttingen</t>
  </si>
  <si>
    <t>Schiedsrichter</t>
  </si>
  <si>
    <t>T</t>
  </si>
  <si>
    <t>KRM Essen</t>
  </si>
  <si>
    <t>KC Wetter</t>
  </si>
  <si>
    <t>KGW Essen</t>
  </si>
  <si>
    <t>WSF Liblar</t>
  </si>
  <si>
    <t>ACC Hamburg</t>
  </si>
  <si>
    <t>KCNW Berlin</t>
  </si>
  <si>
    <t>RSV Hannover</t>
  </si>
  <si>
    <t>Von</t>
  </si>
  <si>
    <t>Bis</t>
  </si>
  <si>
    <t>Gruppe B</t>
  </si>
  <si>
    <t>Spiel</t>
  </si>
  <si>
    <t>Feld</t>
  </si>
  <si>
    <t>Zeit</t>
  </si>
  <si>
    <t>Ergebnis</t>
  </si>
  <si>
    <t>/</t>
  </si>
  <si>
    <t>:</t>
  </si>
  <si>
    <t>Platz</t>
  </si>
  <si>
    <t>Mannschaft</t>
  </si>
  <si>
    <t>Spiele</t>
  </si>
  <si>
    <t>U</t>
  </si>
  <si>
    <t>Punkte</t>
  </si>
  <si>
    <t>Torverhältnis</t>
  </si>
  <si>
    <t>+</t>
  </si>
  <si>
    <t>Differenz</t>
  </si>
  <si>
    <t>Gesamttabelle</t>
  </si>
  <si>
    <t>N</t>
  </si>
  <si>
    <t>S</t>
  </si>
  <si>
    <t>A/B</t>
  </si>
  <si>
    <t>1. MKC Duisburg</t>
  </si>
  <si>
    <t>VK Berlin</t>
  </si>
  <si>
    <t>ID</t>
  </si>
  <si>
    <t>Die Kader immer zum aktuellen Spieltag aktuallisieren</t>
  </si>
  <si>
    <t>Setzliste Hinrunde</t>
  </si>
  <si>
    <t>Hinrunde Vollständig?</t>
  </si>
  <si>
    <t>Auswahl</t>
  </si>
  <si>
    <t>Hinrunde</t>
  </si>
  <si>
    <t>Rückrunde</t>
  </si>
  <si>
    <t>Möglichkeiten</t>
  </si>
  <si>
    <t>Team1</t>
  </si>
  <si>
    <t>Team2</t>
  </si>
  <si>
    <t>Gültig</t>
  </si>
  <si>
    <t>P</t>
  </si>
  <si>
    <t>Rang</t>
  </si>
  <si>
    <t>Berechnungshilfe</t>
  </si>
  <si>
    <t>Gesamt</t>
  </si>
  <si>
    <t>2.Spieltag</t>
  </si>
  <si>
    <t>4.Spieltag</t>
  </si>
  <si>
    <t>1. bis 3. Spieltag</t>
  </si>
  <si>
    <t>Verein</t>
  </si>
  <si>
    <t>Deutscher Kanu-Verband e.V.</t>
  </si>
  <si>
    <t>Ressort Kanupolo</t>
  </si>
  <si>
    <t>Kanupolo - Spielbericht</t>
  </si>
  <si>
    <t>Min.</t>
  </si>
  <si>
    <t>Spieler Nr.:</t>
  </si>
  <si>
    <t>Stand:</t>
  </si>
  <si>
    <t>Veranstaltung:</t>
  </si>
  <si>
    <t>Spiel-Nr.:</t>
  </si>
  <si>
    <t>Spielbeginn :</t>
  </si>
  <si>
    <t>Spielfeld :</t>
  </si>
  <si>
    <t>Datum:</t>
  </si>
  <si>
    <t>Spielzeit:</t>
  </si>
  <si>
    <t>2x10 min</t>
  </si>
  <si>
    <t>Pause:</t>
  </si>
  <si>
    <t>3 min</t>
  </si>
  <si>
    <t>Schiedsrichterteam:</t>
  </si>
  <si>
    <t/>
  </si>
  <si>
    <t>Protokollführer:</t>
  </si>
  <si>
    <t>Linienrichter:</t>
  </si>
  <si>
    <t>Bootsprüfer:</t>
  </si>
  <si>
    <t>Spielentscheidung:</t>
  </si>
  <si>
    <t>Nr.</t>
  </si>
  <si>
    <t>Halbzeitstand:</t>
  </si>
  <si>
    <t>Endstand:</t>
  </si>
  <si>
    <t xml:space="preserve">Spielbericht rückseitig ? </t>
  </si>
  <si>
    <t>Zeit bei Spielende:</t>
  </si>
  <si>
    <t>Unterschriften der Schiedsrichter</t>
  </si>
  <si>
    <t>Mannschaftsführer mit * kennzeichnen</t>
  </si>
  <si>
    <t>Mannschaft 1</t>
  </si>
  <si>
    <t>Mannschaft 2</t>
  </si>
  <si>
    <t>Shotclock:</t>
  </si>
  <si>
    <t>Zeitnehmer:</t>
  </si>
  <si>
    <r>
      <t xml:space="preserve">Bemerkungen:
</t>
    </r>
    <r>
      <rPr>
        <sz val="10"/>
        <color indexed="8"/>
        <rFont val="Segoe UI"/>
        <family val="2"/>
      </rPr>
      <t>(z.B.: Bergündung Karten)</t>
    </r>
  </si>
  <si>
    <t xml:space="preserve">   Ja</t>
  </si>
  <si>
    <t xml:space="preserve">   Nein</t>
  </si>
  <si>
    <t>Bearbeitungsvermerke der Wettkampfleitung / Jury:</t>
  </si>
  <si>
    <t>1. Schiedsrichter:</t>
  </si>
  <si>
    <t>2. Schiedsrichter:</t>
  </si>
  <si>
    <t>Team ID</t>
  </si>
  <si>
    <t>Spielnr</t>
  </si>
  <si>
    <t>Spieltyp</t>
  </si>
  <si>
    <t>Spieltag</t>
  </si>
  <si>
    <t>Spielnr.</t>
  </si>
  <si>
    <t>Mannschaft1</t>
  </si>
  <si>
    <t>Mannschaft2</t>
  </si>
  <si>
    <t>1. Schiedsrichter</t>
  </si>
  <si>
    <t>Protokollführer</t>
  </si>
  <si>
    <t>Zeitnehmer</t>
  </si>
  <si>
    <t>Shotclock</t>
  </si>
  <si>
    <t>2. Schiedsrichter</t>
  </si>
  <si>
    <t>Linienrichter 1</t>
  </si>
  <si>
    <t>Team 1</t>
  </si>
  <si>
    <t>Team 2</t>
  </si>
  <si>
    <t>Begegnung</t>
  </si>
  <si>
    <t>Schiedsrichterteams</t>
  </si>
  <si>
    <t>Gültig?</t>
  </si>
  <si>
    <t>Bootsprüfer</t>
  </si>
  <si>
    <t>Linienrichter 2</t>
  </si>
  <si>
    <t>Nr</t>
  </si>
  <si>
    <t>Setzliste Rückrunde (automatisch generiert)</t>
  </si>
  <si>
    <t>Spieltage</t>
  </si>
  <si>
    <t>Gruppe A (G -&gt; A/B)</t>
  </si>
  <si>
    <t>Meisterschaftsrunde</t>
  </si>
  <si>
    <t>Sieger der Playoffrunden 1 und 2 werden in 3 Spielen ermittelt</t>
  </si>
  <si>
    <t>Sieger der Platzierungsspiele um die Plätze 5 und 7 werden in einem Spiel ermittelt</t>
  </si>
  <si>
    <t>Sieger der Platzierungsspiele um die Plätze 1 und 3 werden in zwei Spielen ermittelt, bei Gleichstand nach dem 2. Spiel folgt direkt eine Verlängerung</t>
  </si>
  <si>
    <t>Playoff 1A (1.Viertelfinale)</t>
  </si>
  <si>
    <t>Playoff 2A (1. Halbfinale)</t>
  </si>
  <si>
    <t>Playoff 3A (Finale) 2 Spiele mit Verlängerung bei Gleichstand nach Spiel 2</t>
  </si>
  <si>
    <t>Deutscher Meister  Vizemeister</t>
  </si>
  <si>
    <t>Playoff 1B (2.Viertelfinale)</t>
  </si>
  <si>
    <t>Playoff 2B (2. Halbfinale</t>
  </si>
  <si>
    <t>Playoff 3B (Platz 3) 2 Spiele mit Verlängerung bei Gleichstand nach Spiel 2</t>
  </si>
  <si>
    <t>Dritter Platz        Vierter Platz</t>
  </si>
  <si>
    <t>Playoff 1C (3.Viertelfinale)</t>
  </si>
  <si>
    <t>Playoff 2C (Platz 5 - 8)</t>
  </si>
  <si>
    <t>Playoff 3C (Platz 5) Ein Spiel</t>
  </si>
  <si>
    <t>Fünfter Platz  Sechster Platz</t>
  </si>
  <si>
    <t>Playoff 1D (4.Viertelfinale)</t>
  </si>
  <si>
    <t>Playoff 2D (Platz 5 - 8)</t>
  </si>
  <si>
    <t>Playoff 3D (Platz 7) Ein Spiel</t>
  </si>
  <si>
    <t>Siebter Platz       Achter Platz</t>
  </si>
  <si>
    <t>Abstiegsrunde</t>
  </si>
  <si>
    <t>Platzierungstabelle (Abstiegsrunde)</t>
  </si>
  <si>
    <t>spielt nicht mehr um die Meisterschaft</t>
  </si>
  <si>
    <t>Spiel AS1, Nr:</t>
  </si>
  <si>
    <t>Spiel AS 4; Nr:</t>
  </si>
  <si>
    <t>Spiel AS3; Nr:</t>
  </si>
  <si>
    <t>2. Absteiger</t>
  </si>
  <si>
    <t>Spiel AS2; Nr:</t>
  </si>
  <si>
    <t>1. Absteiger</t>
  </si>
  <si>
    <t>=</t>
  </si>
  <si>
    <t>Gewinner</t>
  </si>
  <si>
    <t>Verlierer</t>
  </si>
  <si>
    <t>Finalrunde</t>
  </si>
  <si>
    <t>Viertelfinalrunde "Best of Three"</t>
  </si>
  <si>
    <t>Halbfinalrunde "Best of Three"</t>
  </si>
  <si>
    <t>Neunter Platz       Zehnter Platz</t>
  </si>
  <si>
    <t>Playoffs/Playdowns</t>
  </si>
  <si>
    <t>Tab. AS</t>
  </si>
  <si>
    <t>P/O 1A 1</t>
  </si>
  <si>
    <t>P/O 1B 1</t>
  </si>
  <si>
    <t>P/O 1C 1</t>
  </si>
  <si>
    <t>P/O 1D 1</t>
  </si>
  <si>
    <t>P/O 1A 2</t>
  </si>
  <si>
    <t>P/O 1B 2</t>
  </si>
  <si>
    <t>P/O 1C 2</t>
  </si>
  <si>
    <t>P/O 1D 2</t>
  </si>
  <si>
    <t>P/O 1A 3</t>
  </si>
  <si>
    <t>P/O 1B 3</t>
  </si>
  <si>
    <t>P/O 1C 3</t>
  </si>
  <si>
    <t>P/O 1D 3</t>
  </si>
  <si>
    <t>E</t>
  </si>
  <si>
    <t>P/O 2D 1</t>
  </si>
  <si>
    <t>P/O 2C 1</t>
  </si>
  <si>
    <t>P/O 2A 1</t>
  </si>
  <si>
    <t>P/O 2B 1</t>
  </si>
  <si>
    <t>P/O AS3</t>
  </si>
  <si>
    <t>P/O 2D 2</t>
  </si>
  <si>
    <t>P/O 2C 2</t>
  </si>
  <si>
    <t>P/O 2A 2</t>
  </si>
  <si>
    <t>P/O 2B 2</t>
  </si>
  <si>
    <t>P/O 2D 3</t>
  </si>
  <si>
    <t>P/O 2C 3</t>
  </si>
  <si>
    <t>P/O 2A 3</t>
  </si>
  <si>
    <t>P/O 2B 3</t>
  </si>
  <si>
    <t>P/O AS1</t>
  </si>
  <si>
    <t>P/O AS2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</si>
  <si>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</si>
  <si>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</si>
  <si>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</si>
  <si>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</si>
  <si>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</si>
  <si>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</si>
  <si>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</si>
  <si>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</si>
  <si>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</si>
  <si>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</si>
  <si>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</si>
  <si>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</si>
  <si>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Saison abgeschlossen?</t>
  </si>
  <si>
    <t>Setzliste Playoffs</t>
  </si>
  <si>
    <t>Verl. Playoff 1A</t>
  </si>
  <si>
    <t>Verl. Playoff 1D</t>
  </si>
  <si>
    <t>Verl. Playoff 1B</t>
  </si>
  <si>
    <t>Verl. Playoff 1C</t>
  </si>
  <si>
    <t>Gew. Playoff 1A</t>
  </si>
  <si>
    <t>Gew. Playoff 1D</t>
  </si>
  <si>
    <t>Gew. Playoff 1B</t>
  </si>
  <si>
    <t>Gew. Playoff 1C</t>
  </si>
  <si>
    <t>Fertig</t>
  </si>
  <si>
    <t>Ver. Playoff 2D</t>
  </si>
  <si>
    <t>Verl. Playoff 2C</t>
  </si>
  <si>
    <t>Gew. Playoff 2D</t>
  </si>
  <si>
    <t>Gew. Playoff 2C</t>
  </si>
  <si>
    <t>Verl. Playoff 2A</t>
  </si>
  <si>
    <t>Verl. Playoff 2B</t>
  </si>
  <si>
    <t>Gew. Playoff 2A</t>
  </si>
  <si>
    <t>Gew. Playoff 2B</t>
  </si>
  <si>
    <t>Finale /1</t>
  </si>
  <si>
    <t>Finale /2</t>
  </si>
  <si>
    <t>3. Platz /1</t>
  </si>
  <si>
    <t>3. Platz /2</t>
  </si>
  <si>
    <t>1. AS Tabelle</t>
  </si>
  <si>
    <t>2. AS Tabelle</t>
  </si>
  <si>
    <t>3. AS Tabelle</t>
  </si>
  <si>
    <t>4. AS Tabelle</t>
  </si>
  <si>
    <t>Playdown Tabelle</t>
  </si>
  <si>
    <t>Playoffs</t>
  </si>
  <si>
    <t>3. Platz /3</t>
  </si>
  <si>
    <t>Finale /3</t>
  </si>
  <si>
    <t>Playdowns</t>
  </si>
  <si>
    <t>|</t>
  </si>
  <si>
    <t>Abschlussplatzierungen</t>
  </si>
  <si>
    <t>7.</t>
  </si>
  <si>
    <t>8.</t>
  </si>
  <si>
    <t>9.</t>
  </si>
  <si>
    <t>10.</t>
  </si>
  <si>
    <t>11.</t>
  </si>
  <si>
    <t>12.</t>
  </si>
  <si>
    <t>Abschlusstabelle der regulären Saison</t>
  </si>
  <si>
    <t>Deutscher Meister</t>
  </si>
  <si>
    <t>Endplatzierungen</t>
  </si>
  <si>
    <t>Deutsche Kanupolo Bundesliga</t>
  </si>
  <si>
    <t>Teilnehmende Vereine</t>
  </si>
  <si>
    <t>Gruppe A</t>
  </si>
  <si>
    <t>1. Spieltag:</t>
  </si>
  <si>
    <t>2. Spieltag:</t>
  </si>
  <si>
    <t>3. Spieltag:</t>
  </si>
  <si>
    <t>4. Spieltag:</t>
  </si>
  <si>
    <t>Playoffs/Playdowns:</t>
  </si>
  <si>
    <t>Herren</t>
  </si>
  <si>
    <t>Duisburg</t>
  </si>
  <si>
    <t>Glauchau</t>
  </si>
  <si>
    <t>KSV Glauchau</t>
  </si>
  <si>
    <t>Liblar</t>
  </si>
  <si>
    <t>Hamburg</t>
  </si>
  <si>
    <t>Brandenburg a.d. Havel</t>
  </si>
  <si>
    <t>Göttinger PC</t>
  </si>
  <si>
    <t>KSVH Berlin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</si>
</sst>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dd/mm/yy;@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sz val="20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Segoe UI"/>
      <family val="2"/>
    </font>
    <font>
      <sz val="18"/>
      <color indexed="8"/>
      <name val="Segoe UI Light"/>
      <family val="2"/>
    </font>
    <font>
      <sz val="12"/>
      <color indexed="8"/>
      <name val="Segoe UI Light"/>
      <family val="2"/>
    </font>
    <font>
      <sz val="12"/>
      <color indexed="8"/>
      <name val="Segoe UI"/>
      <family val="2"/>
    </font>
    <font>
      <sz val="11"/>
      <color indexed="8"/>
      <name val="Segoe UI Light"/>
      <family val="2"/>
    </font>
    <font>
      <sz val="20"/>
      <color indexed="8"/>
      <name val="Segoe UI Light"/>
      <family val="2"/>
    </font>
    <font>
      <sz val="12"/>
      <color indexed="10"/>
      <name val="Segoe UI Light"/>
      <family val="2"/>
    </font>
    <font>
      <sz val="9"/>
      <color indexed="8"/>
      <name val="Segoe UI"/>
      <family val="2"/>
    </font>
    <font>
      <sz val="14"/>
      <color indexed="8"/>
      <name val="Segoe UI"/>
      <family val="2"/>
    </font>
    <font>
      <sz val="22"/>
      <color indexed="8"/>
      <name val="Segoe UI Light"/>
      <family val="2"/>
    </font>
    <font>
      <sz val="22"/>
      <color indexed="8"/>
      <name val="Segoe UI"/>
      <family val="2"/>
    </font>
    <font>
      <sz val="7"/>
      <color indexed="8"/>
      <name val="Century Gothic"/>
      <family val="2"/>
    </font>
    <font>
      <sz val="24"/>
      <color indexed="8"/>
      <name val="Century Gothic"/>
      <family val="2"/>
    </font>
    <font>
      <sz val="18"/>
      <color indexed="8"/>
      <name val="Century Gothic"/>
      <family val="2"/>
    </font>
    <font>
      <sz val="16"/>
      <color indexed="8"/>
      <name val="Century Gothic"/>
      <family val="2"/>
    </font>
    <font>
      <sz val="18"/>
      <color indexed="8"/>
      <name val="Segoe UI"/>
      <family val="2"/>
    </font>
    <font>
      <sz val="26"/>
      <color indexed="8"/>
      <name val="Segoe UI"/>
      <family val="2"/>
    </font>
    <font>
      <sz val="36"/>
      <color indexed="8"/>
      <name val="Segoe UI"/>
      <family val="2"/>
    </font>
    <font>
      <sz val="16"/>
      <color indexed="8"/>
      <name val="Segoe UI"/>
      <family val="2"/>
    </font>
    <font>
      <sz val="20"/>
      <color indexed="8"/>
      <name val="Segoe UI"/>
      <family val="2"/>
    </font>
    <font>
      <sz val="24"/>
      <color indexed="8"/>
      <name val="Segoe UI"/>
      <family val="2"/>
    </font>
    <font>
      <b/>
      <sz val="14"/>
      <color indexed="8"/>
      <name val="Century Gothic"/>
      <family val="2"/>
    </font>
    <font>
      <sz val="28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Segoe UI"/>
      <family val="0"/>
    </font>
    <font>
      <b/>
      <sz val="20"/>
      <color indexed="8"/>
      <name val="Segoe UI Light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Segoe UI"/>
      <family val="2"/>
    </font>
    <font>
      <sz val="18"/>
      <color theme="1"/>
      <name val="Segoe UI Light"/>
      <family val="2"/>
    </font>
    <font>
      <sz val="12"/>
      <color theme="1"/>
      <name val="Segoe UI Light"/>
      <family val="2"/>
    </font>
    <font>
      <sz val="12"/>
      <color theme="1"/>
      <name val="Segoe UI"/>
      <family val="2"/>
    </font>
    <font>
      <sz val="11"/>
      <color theme="1"/>
      <name val="Segoe UI Light"/>
      <family val="2"/>
    </font>
    <font>
      <sz val="20"/>
      <color theme="1"/>
      <name val="Segoe UI Light"/>
      <family val="2"/>
    </font>
    <font>
      <sz val="12"/>
      <color rgb="FFFF0000"/>
      <name val="Segoe UI Light"/>
      <family val="2"/>
    </font>
    <font>
      <sz val="9"/>
      <color theme="1"/>
      <name val="Segoe UI"/>
      <family val="2"/>
    </font>
    <font>
      <sz val="14"/>
      <color theme="1"/>
      <name val="Segoe UI"/>
      <family val="2"/>
    </font>
    <font>
      <sz val="22"/>
      <color theme="1"/>
      <name val="Segoe UI Light"/>
      <family val="2"/>
    </font>
    <font>
      <sz val="22"/>
      <color theme="1"/>
      <name val="Segoe UI"/>
      <family val="2"/>
    </font>
    <font>
      <sz val="7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Segoe UI"/>
      <family val="2"/>
    </font>
    <font>
      <sz val="20"/>
      <color theme="1"/>
      <name val="Segoe UI"/>
      <family val="2"/>
    </font>
    <font>
      <sz val="16"/>
      <color theme="1"/>
      <name val="Segoe UI"/>
      <family val="2"/>
    </font>
    <font>
      <sz val="26"/>
      <color theme="1"/>
      <name val="Segoe UI"/>
      <family val="2"/>
    </font>
    <font>
      <sz val="36"/>
      <color theme="1"/>
      <name val="Segoe UI"/>
      <family val="2"/>
    </font>
    <font>
      <sz val="24"/>
      <color theme="1"/>
      <name val="Segoe UI"/>
      <family val="2"/>
    </font>
    <font>
      <b/>
      <sz val="14"/>
      <color theme="1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2499700039625167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88">
    <xf numFmtId="0" fontId="0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165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65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3" fillId="0" borderId="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65" fontId="73" fillId="0" borderId="10" xfId="0" applyNumberFormat="1" applyFont="1" applyBorder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165" fontId="73" fillId="2" borderId="0" xfId="0" applyNumberFormat="1" applyFont="1" applyFill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165" fontId="73" fillId="2" borderId="0" xfId="0" applyNumberFormat="1" applyFont="1" applyFill="1" applyBorder="1" applyAlignment="1">
      <alignment horizontal="center" vertical="center"/>
    </xf>
    <xf numFmtId="0" fontId="73" fillId="2" borderId="11" xfId="0" applyFont="1" applyFill="1" applyBorder="1" applyAlignment="1">
      <alignment horizontal="center" vertical="center"/>
    </xf>
    <xf numFmtId="165" fontId="73" fillId="2" borderId="11" xfId="0" applyNumberFormat="1" applyFont="1" applyFill="1" applyBorder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/>
      <protection locked="0"/>
    </xf>
    <xf numFmtId="0" fontId="73" fillId="2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2" borderId="11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74" fillId="0" borderId="0" xfId="0" applyFont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165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 horizontal="center" vertical="center"/>
    </xf>
    <xf numFmtId="165" fontId="73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center"/>
      <protection locked="0"/>
    </xf>
    <xf numFmtId="0" fontId="73" fillId="2" borderId="10" xfId="0" applyFont="1" applyFill="1" applyBorder="1" applyAlignment="1">
      <alignment horizontal="center" vertical="center"/>
    </xf>
    <xf numFmtId="165" fontId="73" fillId="2" borderId="10" xfId="0" applyNumberFormat="1" applyFont="1" applyFill="1" applyBorder="1" applyAlignment="1">
      <alignment horizontal="center" vertical="center"/>
    </xf>
    <xf numFmtId="0" fontId="73" fillId="2" borderId="10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0" fillId="33" borderId="12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7" fillId="0" borderId="12" xfId="0" applyFont="1" applyBorder="1" applyAlignment="1" applyProtection="1">
      <alignment/>
      <protection locked="0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wrapText="1"/>
    </xf>
    <xf numFmtId="165" fontId="77" fillId="0" borderId="0" xfId="0" applyNumberFormat="1" applyFont="1" applyAlignment="1">
      <alignment/>
    </xf>
    <xf numFmtId="14" fontId="77" fillId="0" borderId="0" xfId="0" applyNumberFormat="1" applyFont="1" applyAlignment="1">
      <alignment/>
    </xf>
    <xf numFmtId="166" fontId="77" fillId="0" borderId="0" xfId="0" applyNumberFormat="1" applyFont="1" applyAlignment="1">
      <alignment/>
    </xf>
    <xf numFmtId="0" fontId="77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 wrapText="1"/>
    </xf>
    <xf numFmtId="0" fontId="77" fillId="0" borderId="0" xfId="0" applyFont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 applyProtection="1">
      <alignment horizontal="center" vertical="center"/>
      <protection/>
    </xf>
    <xf numFmtId="0" fontId="85" fillId="0" borderId="16" xfId="0" applyFont="1" applyBorder="1" applyAlignment="1" applyProtection="1">
      <alignment horizontal="center" vertical="center"/>
      <protection/>
    </xf>
    <xf numFmtId="0" fontId="77" fillId="0" borderId="17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4" xfId="0" applyFont="1" applyBorder="1" applyAlignment="1" applyProtection="1">
      <alignment horizontal="center" vertical="center"/>
      <protection/>
    </xf>
    <xf numFmtId="0" fontId="77" fillId="0" borderId="18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/>
      <protection/>
    </xf>
    <xf numFmtId="0" fontId="77" fillId="0" borderId="11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/>
      <protection locked="0"/>
    </xf>
    <xf numFmtId="0" fontId="86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0" fontId="77" fillId="33" borderId="19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/>
    </xf>
    <xf numFmtId="0" fontId="77" fillId="33" borderId="19" xfId="0" applyFont="1" applyFill="1" applyBorder="1" applyAlignment="1">
      <alignment/>
    </xf>
    <xf numFmtId="0" fontId="77" fillId="33" borderId="20" xfId="0" applyFont="1" applyFill="1" applyBorder="1" applyAlignment="1">
      <alignment/>
    </xf>
    <xf numFmtId="0" fontId="77" fillId="33" borderId="0" xfId="0" applyFont="1" applyFill="1" applyAlignment="1">
      <alignment horizontal="left"/>
    </xf>
    <xf numFmtId="164" fontId="77" fillId="0" borderId="15" xfId="0" applyNumberFormat="1" applyFont="1" applyBorder="1" applyAlignment="1" applyProtection="1">
      <alignment/>
      <protection locked="0"/>
    </xf>
    <xf numFmtId="164" fontId="77" fillId="0" borderId="16" xfId="0" applyNumberFormat="1" applyFont="1" applyBorder="1" applyAlignment="1" applyProtection="1">
      <alignment/>
      <protection locked="0"/>
    </xf>
    <xf numFmtId="0" fontId="77" fillId="0" borderId="15" xfId="0" applyFont="1" applyBorder="1" applyAlignment="1" applyProtection="1">
      <alignment/>
      <protection locked="0"/>
    </xf>
    <xf numFmtId="0" fontId="77" fillId="0" borderId="16" xfId="0" applyFont="1" applyBorder="1" applyAlignment="1" applyProtection="1">
      <alignment/>
      <protection locked="0"/>
    </xf>
    <xf numFmtId="0" fontId="87" fillId="33" borderId="0" xfId="0" applyFont="1" applyFill="1" applyAlignment="1" applyProtection="1">
      <alignment horizontal="center" vertical="center"/>
      <protection locked="0"/>
    </xf>
    <xf numFmtId="0" fontId="4" fillId="0" borderId="0" xfId="51" applyFont="1">
      <alignment/>
      <protection/>
    </xf>
    <xf numFmtId="0" fontId="4" fillId="0" borderId="0" xfId="51" applyFont="1" applyAlignment="1">
      <alignment horizontal="left" vertical="justify"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Fill="1">
      <alignment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Fill="1" applyBorder="1" applyAlignment="1">
      <alignment horizontal="left" vertical="justify" wrapText="1"/>
      <protection/>
    </xf>
    <xf numFmtId="0" fontId="4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11" xfId="5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4" fillId="34" borderId="21" xfId="51" applyFont="1" applyFill="1" applyBorder="1" applyAlignment="1">
      <alignment horizontal="right" vertical="center"/>
      <protection/>
    </xf>
    <xf numFmtId="0" fontId="4" fillId="34" borderId="22" xfId="51" applyFont="1" applyFill="1" applyBorder="1" applyAlignment="1">
      <alignment vertical="center"/>
      <protection/>
    </xf>
    <xf numFmtId="0" fontId="4" fillId="34" borderId="23" xfId="51" applyFont="1" applyFill="1" applyBorder="1" applyAlignment="1">
      <alignment vertical="center"/>
      <protection/>
    </xf>
    <xf numFmtId="0" fontId="4" fillId="34" borderId="17" xfId="51" applyFont="1" applyFill="1" applyBorder="1" applyAlignment="1">
      <alignment vertical="center"/>
      <protection/>
    </xf>
    <xf numFmtId="0" fontId="6" fillId="0" borderId="0" xfId="51" applyFont="1" applyAlignment="1" quotePrefix="1">
      <alignment vertical="center"/>
      <protection/>
    </xf>
    <xf numFmtId="0" fontId="6" fillId="0" borderId="0" xfId="51" applyFont="1" applyAlignment="1">
      <alignment horizontal="left" vertical="center"/>
      <protection/>
    </xf>
    <xf numFmtId="0" fontId="4" fillId="0" borderId="10" xfId="51" applyFont="1" applyBorder="1">
      <alignment/>
      <protection/>
    </xf>
    <xf numFmtId="0" fontId="6" fillId="0" borderId="0" xfId="51" applyFont="1" applyBorder="1" applyAlignment="1">
      <alignment horizontal="left" vertical="center"/>
      <protection/>
    </xf>
    <xf numFmtId="0" fontId="4" fillId="0" borderId="0" xfId="51" applyFont="1" applyFill="1" applyBorder="1">
      <alignment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5" fillId="35" borderId="24" xfId="51" applyFont="1" applyFill="1" applyBorder="1" applyAlignment="1">
      <alignment horizontal="right" vertical="center"/>
      <protection/>
    </xf>
    <xf numFmtId="0" fontId="5" fillId="35" borderId="25" xfId="51" applyFont="1" applyFill="1" applyBorder="1" applyAlignment="1">
      <alignment vertical="center"/>
      <protection/>
    </xf>
    <xf numFmtId="0" fontId="5" fillId="35" borderId="26" xfId="51" applyFont="1" applyFill="1" applyBorder="1" applyAlignment="1">
      <alignment horizontal="left" vertical="center"/>
      <protection/>
    </xf>
    <xf numFmtId="0" fontId="5" fillId="35" borderId="26" xfId="51" applyFont="1" applyFill="1" applyBorder="1" applyAlignment="1">
      <alignment vertical="center"/>
      <protection/>
    </xf>
    <xf numFmtId="0" fontId="5" fillId="34" borderId="21" xfId="51" applyFont="1" applyFill="1" applyBorder="1" applyAlignment="1">
      <alignment horizontal="right" vertical="center"/>
      <protection/>
    </xf>
    <xf numFmtId="0" fontId="5" fillId="34" borderId="22" xfId="51" applyFont="1" applyFill="1" applyBorder="1" applyAlignment="1">
      <alignment vertical="center"/>
      <protection/>
    </xf>
    <xf numFmtId="0" fontId="5" fillId="34" borderId="23" xfId="51" applyFont="1" applyFill="1" applyBorder="1" applyAlignment="1">
      <alignment vertical="center"/>
      <protection/>
    </xf>
    <xf numFmtId="0" fontId="73" fillId="0" borderId="0" xfId="0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left" vertical="center"/>
    </xf>
    <xf numFmtId="0" fontId="73" fillId="3" borderId="10" xfId="0" applyFont="1" applyFill="1" applyBorder="1" applyAlignment="1">
      <alignment horizontal="center" vertical="center"/>
    </xf>
    <xf numFmtId="165" fontId="73" fillId="3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left" vertical="center"/>
    </xf>
    <xf numFmtId="0" fontId="73" fillId="3" borderId="10" xfId="0" applyFont="1" applyFill="1" applyBorder="1" applyAlignment="1" applyProtection="1">
      <alignment horizontal="center" vertical="center"/>
      <protection locked="0"/>
    </xf>
    <xf numFmtId="0" fontId="73" fillId="3" borderId="0" xfId="0" applyFont="1" applyFill="1" applyAlignment="1">
      <alignment horizontal="center" vertical="center"/>
    </xf>
    <xf numFmtId="165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horizontal="left" vertical="center"/>
    </xf>
    <xf numFmtId="0" fontId="73" fillId="3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7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 wrapText="1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6" fillId="3" borderId="10" xfId="0" applyFont="1" applyFill="1" applyBorder="1" applyAlignment="1" applyProtection="1">
      <alignment horizontal="center" vertical="center"/>
      <protection/>
    </xf>
    <xf numFmtId="0" fontId="72" fillId="3" borderId="10" xfId="0" applyFont="1" applyFill="1" applyBorder="1" applyAlignment="1" applyProtection="1">
      <alignment horizontal="left" vertical="center"/>
      <protection/>
    </xf>
    <xf numFmtId="0" fontId="72" fillId="3" borderId="10" xfId="0" applyFont="1" applyFill="1" applyBorder="1" applyAlignment="1" applyProtection="1">
      <alignment horizontal="center" vertical="center"/>
      <protection/>
    </xf>
    <xf numFmtId="0" fontId="76" fillId="3" borderId="0" xfId="0" applyFont="1" applyFill="1" applyBorder="1" applyAlignment="1" applyProtection="1">
      <alignment horizontal="center" vertical="center"/>
      <protection/>
    </xf>
    <xf numFmtId="0" fontId="72" fillId="3" borderId="0" xfId="0" applyFont="1" applyFill="1" applyBorder="1" applyAlignment="1" applyProtection="1">
      <alignment horizontal="left" vertical="center"/>
      <protection/>
    </xf>
    <xf numFmtId="0" fontId="72" fillId="3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2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2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2" borderId="11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right" vertical="center"/>
    </xf>
    <xf numFmtId="0" fontId="88" fillId="2" borderId="0" xfId="0" applyFont="1" applyFill="1" applyAlignment="1">
      <alignment horizontal="right" vertical="center"/>
    </xf>
    <xf numFmtId="0" fontId="88" fillId="0" borderId="0" xfId="0" applyFont="1" applyAlignment="1">
      <alignment horizontal="right" vertical="center"/>
    </xf>
    <xf numFmtId="0" fontId="88" fillId="2" borderId="0" xfId="0" applyFont="1" applyFill="1" applyBorder="1" applyAlignment="1">
      <alignment horizontal="right" vertical="center"/>
    </xf>
    <xf numFmtId="0" fontId="88" fillId="0" borderId="0" xfId="0" applyFont="1" applyBorder="1" applyAlignment="1">
      <alignment horizontal="right" vertical="center"/>
    </xf>
    <xf numFmtId="0" fontId="88" fillId="2" borderId="11" xfId="0" applyFont="1" applyFill="1" applyBorder="1" applyAlignment="1">
      <alignment horizontal="right" vertical="center"/>
    </xf>
    <xf numFmtId="0" fontId="88" fillId="0" borderId="10" xfId="0" applyFont="1" applyBorder="1" applyAlignment="1">
      <alignment horizontal="left" vertical="center"/>
    </xf>
    <xf numFmtId="0" fontId="88" fillId="2" borderId="0" xfId="0" applyFont="1" applyFill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8" fillId="2" borderId="0" xfId="0" applyFont="1" applyFill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2" borderId="11" xfId="0" applyFont="1" applyFill="1" applyBorder="1" applyAlignment="1">
      <alignment horizontal="left" vertical="center"/>
    </xf>
    <xf numFmtId="0" fontId="88" fillId="2" borderId="10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right" vertical="center"/>
    </xf>
    <xf numFmtId="0" fontId="88" fillId="0" borderId="0" xfId="0" applyFont="1" applyFill="1" applyAlignment="1">
      <alignment horizontal="right" vertical="center"/>
    </xf>
    <xf numFmtId="0" fontId="88" fillId="2" borderId="10" xfId="0" applyFont="1" applyFill="1" applyBorder="1" applyAlignment="1">
      <alignment horizontal="right" vertical="center"/>
    </xf>
    <xf numFmtId="0" fontId="88" fillId="2" borderId="10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88" fillId="0" borderId="1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/>
    </xf>
    <xf numFmtId="0" fontId="88" fillId="3" borderId="10" xfId="0" applyFont="1" applyFill="1" applyBorder="1" applyAlignment="1">
      <alignment horizontal="center" vertical="center"/>
    </xf>
    <xf numFmtId="0" fontId="88" fillId="3" borderId="0" xfId="0" applyFont="1" applyFill="1" applyAlignment="1">
      <alignment horizontal="center" vertical="center"/>
    </xf>
    <xf numFmtId="0" fontId="88" fillId="3" borderId="10" xfId="0" applyFont="1" applyFill="1" applyBorder="1" applyAlignment="1">
      <alignment horizontal="right" vertical="center"/>
    </xf>
    <xf numFmtId="0" fontId="88" fillId="3" borderId="0" xfId="0" applyFont="1" applyFill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0" xfId="0" applyFont="1" applyFill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73" fillId="3" borderId="0" xfId="0" applyFont="1" applyFill="1" applyBorder="1" applyAlignment="1">
      <alignment horizontal="center" vertical="center"/>
    </xf>
    <xf numFmtId="165" fontId="73" fillId="3" borderId="0" xfId="0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left" vertical="center"/>
    </xf>
    <xf numFmtId="0" fontId="73" fillId="3" borderId="0" xfId="0" applyFont="1" applyFill="1" applyBorder="1" applyAlignment="1" applyProtection="1">
      <alignment horizontal="center" vertical="center"/>
      <protection locked="0"/>
    </xf>
    <xf numFmtId="0" fontId="88" fillId="3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center" vertical="center"/>
    </xf>
    <xf numFmtId="0" fontId="88" fillId="3" borderId="0" xfId="0" applyFont="1" applyFill="1" applyBorder="1" applyAlignment="1">
      <alignment horizontal="left" vertical="center"/>
    </xf>
    <xf numFmtId="0" fontId="72" fillId="3" borderId="0" xfId="0" applyFont="1" applyFill="1" applyAlignment="1" applyProtection="1">
      <alignment horizontal="center" vertical="center"/>
      <protection/>
    </xf>
    <xf numFmtId="0" fontId="89" fillId="36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74" fillId="37" borderId="0" xfId="0" applyFont="1" applyFill="1" applyAlignment="1" applyProtection="1">
      <alignment horizontal="center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90" fillId="38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91" fillId="0" borderId="0" xfId="0" applyFont="1" applyFill="1" applyAlignment="1" applyProtection="1">
      <alignment horizontal="center" vertical="center"/>
      <protection/>
    </xf>
    <xf numFmtId="0" fontId="89" fillId="0" borderId="0" xfId="0" applyFont="1" applyFill="1" applyAlignment="1" applyProtection="1">
      <alignment horizontal="left" vertical="center"/>
      <protection/>
    </xf>
    <xf numFmtId="0" fontId="74" fillId="0" borderId="0" xfId="0" applyFont="1" applyFill="1" applyAlignment="1" applyProtection="1">
      <alignment horizontal="left" vertical="center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77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0" fontId="79" fillId="0" borderId="0" xfId="0" applyFont="1" applyAlignment="1">
      <alignment horizontal="left" vertical="center"/>
    </xf>
    <xf numFmtId="0" fontId="77" fillId="0" borderId="0" xfId="0" applyFont="1" applyBorder="1" applyAlignment="1" applyProtection="1">
      <alignment horizontal="center" wrapText="1"/>
      <protection/>
    </xf>
    <xf numFmtId="0" fontId="77" fillId="0" borderId="0" xfId="0" applyFont="1" applyBorder="1" applyAlignment="1" applyProtection="1">
      <alignment horizontal="center"/>
      <protection/>
    </xf>
    <xf numFmtId="0" fontId="77" fillId="0" borderId="11" xfId="0" applyFont="1" applyBorder="1" applyAlignment="1" applyProtection="1">
      <alignment horizontal="center" wrapText="1"/>
      <protection/>
    </xf>
    <xf numFmtId="0" fontId="77" fillId="0" borderId="0" xfId="0" applyFont="1" applyAlignment="1" applyProtection="1">
      <alignment/>
      <protection/>
    </xf>
    <xf numFmtId="166" fontId="77" fillId="0" borderId="0" xfId="0" applyNumberFormat="1" applyFont="1" applyAlignment="1" applyProtection="1">
      <alignment/>
      <protection/>
    </xf>
    <xf numFmtId="165" fontId="77" fillId="0" borderId="0" xfId="0" applyNumberFormat="1" applyFont="1" applyAlignment="1" applyProtection="1">
      <alignment/>
      <protection/>
    </xf>
    <xf numFmtId="0" fontId="77" fillId="0" borderId="0" xfId="0" applyFont="1" applyFill="1" applyAlignment="1" applyProtection="1">
      <alignment horizontal="center"/>
      <protection/>
    </xf>
    <xf numFmtId="0" fontId="77" fillId="0" borderId="0" xfId="0" applyFont="1" applyAlignment="1" applyProtection="1">
      <alignment horizontal="right"/>
      <protection/>
    </xf>
    <xf numFmtId="0" fontId="79" fillId="33" borderId="27" xfId="0" applyFont="1" applyFill="1" applyBorder="1" applyAlignment="1">
      <alignment horizontal="left" vertical="center"/>
    </xf>
    <xf numFmtId="0" fontId="79" fillId="33" borderId="28" xfId="0" applyFont="1" applyFill="1" applyBorder="1" applyAlignment="1">
      <alignment horizontal="left" vertical="center"/>
    </xf>
    <xf numFmtId="0" fontId="77" fillId="33" borderId="29" xfId="0" applyFont="1" applyFill="1" applyBorder="1" applyAlignment="1">
      <alignment horizontal="left"/>
    </xf>
    <xf numFmtId="0" fontId="77" fillId="33" borderId="28" xfId="0" applyFont="1" applyFill="1" applyBorder="1" applyAlignment="1">
      <alignment horizontal="left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30" xfId="0" applyFont="1" applyFill="1" applyBorder="1" applyAlignment="1">
      <alignment horizontal="left" vertical="center"/>
    </xf>
    <xf numFmtId="0" fontId="79" fillId="33" borderId="31" xfId="0" applyFont="1" applyFill="1" applyBorder="1" applyAlignment="1">
      <alignment horizontal="left" vertical="center"/>
    </xf>
    <xf numFmtId="0" fontId="93" fillId="0" borderId="0" xfId="0" applyFont="1" applyAlignment="1">
      <alignment horizontal="center"/>
    </xf>
    <xf numFmtId="0" fontId="94" fillId="33" borderId="32" xfId="0" applyFont="1" applyFill="1" applyBorder="1" applyAlignment="1">
      <alignment horizontal="left"/>
    </xf>
    <xf numFmtId="0" fontId="94" fillId="33" borderId="27" xfId="0" applyFont="1" applyFill="1" applyBorder="1" applyAlignment="1">
      <alignment horizontal="left"/>
    </xf>
    <xf numFmtId="0" fontId="87" fillId="33" borderId="32" xfId="0" applyFont="1" applyFill="1" applyBorder="1" applyAlignment="1">
      <alignment horizontal="center"/>
    </xf>
    <xf numFmtId="0" fontId="87" fillId="33" borderId="27" xfId="0" applyFont="1" applyFill="1" applyBorder="1" applyAlignment="1">
      <alignment horizontal="center"/>
    </xf>
    <xf numFmtId="0" fontId="87" fillId="33" borderId="30" xfId="0" applyFont="1" applyFill="1" applyBorder="1" applyAlignment="1">
      <alignment horizontal="center"/>
    </xf>
    <xf numFmtId="0" fontId="80" fillId="33" borderId="29" xfId="0" applyFont="1" applyFill="1" applyBorder="1" applyAlignment="1">
      <alignment horizontal="center"/>
    </xf>
    <xf numFmtId="0" fontId="80" fillId="33" borderId="28" xfId="0" applyFont="1" applyFill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3" borderId="33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4" fillId="33" borderId="28" xfId="0" applyFont="1" applyFill="1" applyBorder="1" applyAlignment="1">
      <alignment horizontal="center"/>
    </xf>
    <xf numFmtId="0" fontId="94" fillId="33" borderId="31" xfId="0" applyFont="1" applyFill="1" applyBorder="1" applyAlignment="1">
      <alignment horizontal="center"/>
    </xf>
    <xf numFmtId="0" fontId="80" fillId="33" borderId="31" xfId="0" applyFont="1" applyFill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80" fillId="33" borderId="34" xfId="0" applyFont="1" applyFill="1" applyBorder="1" applyAlignment="1">
      <alignment horizontal="center"/>
    </xf>
    <xf numFmtId="0" fontId="80" fillId="0" borderId="30" xfId="0" applyFont="1" applyBorder="1" applyAlignment="1">
      <alignment horizontal="center"/>
    </xf>
    <xf numFmtId="0" fontId="94" fillId="33" borderId="29" xfId="0" applyFont="1" applyFill="1" applyBorder="1" applyAlignment="1">
      <alignment horizontal="center"/>
    </xf>
    <xf numFmtId="0" fontId="77" fillId="0" borderId="21" xfId="0" applyFont="1" applyBorder="1" applyAlignment="1" applyProtection="1">
      <alignment vertical="center"/>
      <protection/>
    </xf>
    <xf numFmtId="0" fontId="77" fillId="0" borderId="23" xfId="0" applyFont="1" applyBorder="1" applyAlignment="1" applyProtection="1">
      <alignment vertical="center"/>
      <protection/>
    </xf>
    <xf numFmtId="0" fontId="77" fillId="0" borderId="21" xfId="0" applyFont="1" applyBorder="1" applyAlignment="1" applyProtection="1">
      <alignment horizontal="center" vertical="center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 vertical="center"/>
      <protection/>
    </xf>
    <xf numFmtId="164" fontId="77" fillId="0" borderId="17" xfId="0" applyNumberFormat="1" applyFont="1" applyBorder="1" applyAlignment="1" applyProtection="1">
      <alignment horizontal="center" vertical="center"/>
      <protection/>
    </xf>
    <xf numFmtId="0" fontId="77" fillId="0" borderId="17" xfId="0" applyFont="1" applyBorder="1" applyAlignment="1" applyProtection="1">
      <alignment horizontal="left" vertical="center"/>
      <protection/>
    </xf>
    <xf numFmtId="0" fontId="77" fillId="0" borderId="17" xfId="0" applyFont="1" applyBorder="1" applyAlignment="1" applyProtection="1">
      <alignment horizontal="center" vertical="center"/>
      <protection/>
    </xf>
    <xf numFmtId="0" fontId="92" fillId="0" borderId="15" xfId="0" applyFont="1" applyBorder="1" applyAlignment="1" applyProtection="1">
      <alignment horizontal="left" vertical="top" indent="1"/>
      <protection/>
    </xf>
    <xf numFmtId="0" fontId="92" fillId="0" borderId="0" xfId="0" applyFont="1" applyBorder="1" applyAlignment="1" applyProtection="1">
      <alignment horizontal="left" vertical="top" indent="1"/>
      <protection/>
    </xf>
    <xf numFmtId="0" fontId="92" fillId="0" borderId="16" xfId="0" applyFont="1" applyBorder="1" applyAlignment="1" applyProtection="1">
      <alignment horizontal="left" vertical="top" indent="1"/>
      <protection/>
    </xf>
    <xf numFmtId="0" fontId="92" fillId="0" borderId="19" xfId="0" applyFont="1" applyBorder="1" applyAlignment="1" applyProtection="1">
      <alignment horizontal="left" vertical="top" indent="1"/>
      <protection/>
    </xf>
    <xf numFmtId="0" fontId="92" fillId="0" borderId="11" xfId="0" applyFont="1" applyBorder="1" applyAlignment="1" applyProtection="1">
      <alignment horizontal="left" vertical="top" indent="1"/>
      <protection/>
    </xf>
    <xf numFmtId="0" fontId="92" fillId="0" borderId="20" xfId="0" applyFont="1" applyBorder="1" applyAlignment="1" applyProtection="1">
      <alignment horizontal="left" vertical="top" indent="1"/>
      <protection/>
    </xf>
    <xf numFmtId="0" fontId="85" fillId="0" borderId="13" xfId="0" applyFont="1" applyBorder="1" applyAlignment="1" applyProtection="1">
      <alignment horizontal="left" vertical="top" wrapText="1"/>
      <protection locked="0"/>
    </xf>
    <xf numFmtId="0" fontId="85" fillId="0" borderId="10" xfId="0" applyFont="1" applyBorder="1" applyAlignment="1" applyProtection="1">
      <alignment horizontal="left" vertical="top" wrapText="1"/>
      <protection locked="0"/>
    </xf>
    <xf numFmtId="0" fontId="85" fillId="0" borderId="14" xfId="0" applyFont="1" applyBorder="1" applyAlignment="1" applyProtection="1">
      <alignment horizontal="left" vertical="top" wrapText="1"/>
      <protection locked="0"/>
    </xf>
    <xf numFmtId="0" fontId="85" fillId="0" borderId="15" xfId="0" applyFont="1" applyBorder="1" applyAlignment="1" applyProtection="1">
      <alignment horizontal="left" vertical="top" wrapText="1"/>
      <protection locked="0"/>
    </xf>
    <xf numFmtId="0" fontId="85" fillId="0" borderId="0" xfId="0" applyFont="1" applyBorder="1" applyAlignment="1" applyProtection="1">
      <alignment horizontal="left" vertical="top" wrapText="1"/>
      <protection locked="0"/>
    </xf>
    <xf numFmtId="0" fontId="85" fillId="0" borderId="16" xfId="0" applyFont="1" applyBorder="1" applyAlignment="1" applyProtection="1">
      <alignment horizontal="left" vertical="top" wrapText="1"/>
      <protection locked="0"/>
    </xf>
    <xf numFmtId="0" fontId="85" fillId="0" borderId="19" xfId="0" applyFont="1" applyBorder="1" applyAlignment="1" applyProtection="1">
      <alignment horizontal="left" vertical="top" wrapText="1"/>
      <protection locked="0"/>
    </xf>
    <xf numFmtId="0" fontId="85" fillId="0" borderId="11" xfId="0" applyFont="1" applyBorder="1" applyAlignment="1" applyProtection="1">
      <alignment horizontal="left" vertical="top" wrapText="1"/>
      <protection locked="0"/>
    </xf>
    <xf numFmtId="0" fontId="85" fillId="0" borderId="20" xfId="0" applyFont="1" applyBorder="1" applyAlignment="1" applyProtection="1">
      <alignment horizontal="left" vertical="top" wrapText="1"/>
      <protection locked="0"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/>
      <protection/>
    </xf>
    <xf numFmtId="0" fontId="94" fillId="0" borderId="17" xfId="0" applyFont="1" applyBorder="1" applyAlignment="1" applyProtection="1">
      <alignment horizontal="center" vertical="center" wrapText="1"/>
      <protection/>
    </xf>
    <xf numFmtId="0" fontId="94" fillId="0" borderId="17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4" xfId="0" applyFont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 applyProtection="1">
      <alignment horizontal="left" vertical="center"/>
      <protection/>
    </xf>
    <xf numFmtId="0" fontId="77" fillId="0" borderId="18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left" vertical="center" wrapText="1"/>
      <protection/>
    </xf>
    <xf numFmtId="0" fontId="77" fillId="0" borderId="10" xfId="0" applyFont="1" applyBorder="1" applyAlignment="1" applyProtection="1">
      <alignment horizontal="left" vertical="center" wrapText="1"/>
      <protection/>
    </xf>
    <xf numFmtId="0" fontId="77" fillId="0" borderId="14" xfId="0" applyFont="1" applyBorder="1" applyAlignment="1" applyProtection="1">
      <alignment horizontal="left" vertical="center" wrapText="1"/>
      <protection/>
    </xf>
    <xf numFmtId="0" fontId="77" fillId="0" borderId="19" xfId="0" applyFont="1" applyBorder="1" applyAlignment="1" applyProtection="1">
      <alignment horizontal="left" vertical="center" wrapText="1"/>
      <protection/>
    </xf>
    <xf numFmtId="0" fontId="77" fillId="0" borderId="11" xfId="0" applyFont="1" applyBorder="1" applyAlignment="1" applyProtection="1">
      <alignment horizontal="left" vertical="center" wrapText="1"/>
      <protection/>
    </xf>
    <xf numFmtId="0" fontId="77" fillId="0" borderId="20" xfId="0" applyFont="1" applyBorder="1" applyAlignment="1" applyProtection="1">
      <alignment horizontal="left" vertical="center" wrapText="1"/>
      <protection/>
    </xf>
    <xf numFmtId="0" fontId="77" fillId="0" borderId="13" xfId="0" applyFont="1" applyBorder="1" applyAlignment="1" applyProtection="1">
      <alignment horizontal="center" vertical="center"/>
      <protection/>
    </xf>
    <xf numFmtId="0" fontId="77" fillId="0" borderId="19" xfId="0" applyFont="1" applyBorder="1" applyAlignment="1" applyProtection="1">
      <alignment horizontal="center" vertical="center"/>
      <protection/>
    </xf>
    <xf numFmtId="0" fontId="77" fillId="0" borderId="20" xfId="0" applyFont="1" applyBorder="1" applyAlignment="1" applyProtection="1">
      <alignment horizontal="center" vertical="center"/>
      <protection/>
    </xf>
    <xf numFmtId="0" fontId="85" fillId="0" borderId="19" xfId="0" applyFont="1" applyBorder="1" applyAlignment="1" applyProtection="1">
      <alignment horizontal="center" vertical="center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85" fillId="0" borderId="20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 vertical="center"/>
      <protection/>
    </xf>
    <xf numFmtId="0" fontId="97" fillId="0" borderId="11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left" vertical="center"/>
      <protection/>
    </xf>
    <xf numFmtId="0" fontId="77" fillId="0" borderId="17" xfId="0" applyFont="1" applyBorder="1" applyAlignment="1" applyProtection="1">
      <alignment horizontal="center" vertical="center"/>
      <protection locked="0"/>
    </xf>
    <xf numFmtId="165" fontId="77" fillId="0" borderId="17" xfId="0" applyNumberFormat="1" applyFont="1" applyBorder="1" applyAlignment="1" applyProtection="1">
      <alignment horizontal="center" vertical="center"/>
      <protection/>
    </xf>
    <xf numFmtId="0" fontId="78" fillId="0" borderId="35" xfId="0" applyFont="1" applyBorder="1" applyAlignment="1">
      <alignment horizontal="center" vertical="center"/>
    </xf>
    <xf numFmtId="0" fontId="75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98" fillId="0" borderId="11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left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72" fillId="3" borderId="0" xfId="0" applyFont="1" applyFill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91" fillId="36" borderId="0" xfId="0" applyFont="1" applyFill="1" applyAlignment="1" applyProtection="1">
      <alignment horizontal="center" vertical="center"/>
      <protection/>
    </xf>
    <xf numFmtId="0" fontId="72" fillId="3" borderId="0" xfId="0" applyFont="1" applyFill="1" applyAlignment="1" applyProtection="1">
      <alignment horizontal="left" vertical="center"/>
      <protection/>
    </xf>
    <xf numFmtId="0" fontId="99" fillId="0" borderId="0" xfId="0" applyFont="1" applyAlignment="1" applyProtection="1">
      <alignment horizontal="center" vertical="center"/>
      <protection/>
    </xf>
    <xf numFmtId="0" fontId="89" fillId="36" borderId="0" xfId="0" applyFont="1" applyFill="1" applyAlignment="1" applyProtection="1">
      <alignment horizontal="left" vertical="center"/>
      <protection/>
    </xf>
    <xf numFmtId="0" fontId="74" fillId="37" borderId="0" xfId="0" applyFont="1" applyFill="1" applyAlignment="1" applyProtection="1">
      <alignment horizontal="left" vertical="center"/>
      <protection/>
    </xf>
    <xf numFmtId="0" fontId="90" fillId="38" borderId="0" xfId="0" applyFont="1" applyFill="1" applyAlignment="1" applyProtection="1">
      <alignment horizontal="left" vertical="center"/>
      <protection/>
    </xf>
    <xf numFmtId="0" fontId="100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34" borderId="15" xfId="51" applyFont="1" applyFill="1" applyBorder="1" applyAlignment="1">
      <alignment horizontal="center" vertical="center"/>
      <protection/>
    </xf>
    <xf numFmtId="0" fontId="4" fillId="34" borderId="0" xfId="51" applyFont="1" applyFill="1" applyBorder="1" applyAlignment="1">
      <alignment horizontal="center" vertical="center"/>
      <protection/>
    </xf>
    <xf numFmtId="0" fontId="4" fillId="34" borderId="16" xfId="5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/>
      <protection/>
    </xf>
    <xf numFmtId="0" fontId="4" fillId="34" borderId="19" xfId="51" applyFont="1" applyFill="1" applyBorder="1" applyAlignment="1">
      <alignment horizontal="center" vertical="center"/>
      <protection/>
    </xf>
    <xf numFmtId="0" fontId="4" fillId="34" borderId="11" xfId="51" applyFont="1" applyFill="1" applyBorder="1" applyAlignment="1">
      <alignment horizontal="center" vertical="center"/>
      <protection/>
    </xf>
    <xf numFmtId="0" fontId="4" fillId="34" borderId="20" xfId="51" applyFont="1" applyFill="1" applyBorder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/>
      <protection/>
    </xf>
    <xf numFmtId="0" fontId="4" fillId="34" borderId="13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center" wrapText="1"/>
      <protection/>
    </xf>
    <xf numFmtId="0" fontId="77" fillId="0" borderId="11" xfId="0" applyFont="1" applyBorder="1" applyAlignment="1" applyProtection="1">
      <alignment horizontal="center" wrapText="1"/>
      <protection/>
    </xf>
    <xf numFmtId="0" fontId="80" fillId="33" borderId="0" xfId="0" applyFont="1" applyFill="1" applyAlignment="1">
      <alignment horizontal="center"/>
    </xf>
    <xf numFmtId="0" fontId="77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/>
    </xf>
    <xf numFmtId="0" fontId="77" fillId="33" borderId="15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center"/>
    </xf>
    <xf numFmtId="0" fontId="77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Platzierungsverlauf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3325"/>
          <c:w val="0.668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TabellenDB!$O$83</c:f>
              <c:strCache>
                <c:ptCount val="1"/>
                <c:pt idx="0">
                  <c:v>KRM Essen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TabellenDB!$P$83:$S$83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TabellenDB!$O$84</c:f>
              <c:strCache>
                <c:ptCount val="1"/>
                <c:pt idx="0">
                  <c:v>WSF Liblar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TabellenDB!$P$84:$S$84</c:f>
              <c:numCache>
                <c:ptCount val="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TabellenDB!$O$85</c:f>
              <c:strCache>
                <c:ptCount val="1"/>
                <c:pt idx="0">
                  <c:v>1. MKC Duisburg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TabellenDB!$P$85:$S$85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TabellenDB!$O$86</c:f>
              <c:strCache>
                <c:ptCount val="1"/>
                <c:pt idx="0">
                  <c:v>KC Wetter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TabellenDB!$P$86:$S$86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TabellenDB!$O$87</c:f>
              <c:strCache>
                <c:ptCount val="1"/>
                <c:pt idx="0">
                  <c:v>KGW Essen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TabellenDB!$P$87:$S$87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TabellenDB!$O$88</c:f>
              <c:strCache>
                <c:ptCount val="1"/>
                <c:pt idx="0">
                  <c:v>Göttinger PC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TabellenDB!$P$88:$S$88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TabellenDB!$O$89</c:f>
              <c:strCache>
                <c:ptCount val="1"/>
                <c:pt idx="0">
                  <c:v>ACC Hamburg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TabellenDB!$P$89:$S$89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TabellenDB!$O$90</c:f>
              <c:strCache>
                <c:ptCount val="1"/>
                <c:pt idx="0">
                  <c:v>KCNW Berlin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TabellenDB!$P$90:$S$90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TabellenDB!$O$91</c:f>
              <c:strCache>
                <c:ptCount val="1"/>
                <c:pt idx="0">
                  <c:v>RSV Hannover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TabellenDB!$P$91:$S$91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TabellenDB!$O$92</c:f>
              <c:strCache>
                <c:ptCount val="1"/>
                <c:pt idx="0">
                  <c:v>VK Berlin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TabellenDB!$P$92:$S$92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TabellenDB!$O$93</c:f>
              <c:strCache>
                <c:ptCount val="1"/>
                <c:pt idx="0">
                  <c:v>KSV Glauchau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TabellenDB!$P$93:$S$93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TabellenDB!$O$94</c:f>
              <c:strCache>
                <c:ptCount val="1"/>
                <c:pt idx="0">
                  <c:v>KSVH Berlin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TabellenDB!$P$94:$S$94</c:f>
              <c:numCache>
                <c:ptCount val="4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</c:ser>
        <c:axId val="39291078"/>
        <c:axId val="18075383"/>
      </c:scatterChart>
      <c:valAx>
        <c:axId val="39291078"/>
        <c:scaling>
          <c:orientation val="minMax"/>
          <c:max val="4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Spieltag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 val="autoZero"/>
        <c:crossBetween val="midCat"/>
        <c:dispUnits/>
        <c:majorUnit val="1"/>
        <c:minorUnit val="1"/>
      </c:valAx>
      <c:valAx>
        <c:axId val="18075383"/>
        <c:scaling>
          <c:orientation val="maxMin"/>
          <c:max val="12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352425</xdr:rowOff>
    </xdr:from>
    <xdr:to>
      <xdr:col>2</xdr:col>
      <xdr:colOff>714375</xdr:colOff>
      <xdr:row>11</xdr:row>
      <xdr:rowOff>47625</xdr:rowOff>
    </xdr:to>
    <xdr:pic>
      <xdr:nvPicPr>
        <xdr:cNvPr id="1" name="Grafik 3" descr="BL_Logo.jpg"/>
        <xdr:cNvPicPr preferRelativeResize="1">
          <a:picLocks noChangeAspect="1"/>
        </xdr:cNvPicPr>
      </xdr:nvPicPr>
      <xdr:blipFill>
        <a:blip r:embed="rId1"/>
        <a:srcRect l="12033" r="12033"/>
        <a:stretch>
          <a:fillRect/>
        </a:stretch>
      </xdr:blipFill>
      <xdr:spPr>
        <a:xfrm>
          <a:off x="323850" y="1714500"/>
          <a:ext cx="1743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142875</xdr:rowOff>
    </xdr:from>
    <xdr:to>
      <xdr:col>8</xdr:col>
      <xdr:colOff>438150</xdr:colOff>
      <xdr:row>10</xdr:row>
      <xdr:rowOff>47625</xdr:rowOff>
    </xdr:to>
    <xdr:pic>
      <xdr:nvPicPr>
        <xdr:cNvPr id="2" name="Grafik 4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95475"/>
          <a:ext cx="2162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4</xdr:col>
      <xdr:colOff>771525</xdr:colOff>
      <xdr:row>9</xdr:row>
      <xdr:rowOff>266700</xdr:rowOff>
    </xdr:to>
    <xdr:pic>
      <xdr:nvPicPr>
        <xdr:cNvPr id="3" name="Grafik 5" descr="qrco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14312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28575</xdr:rowOff>
    </xdr:from>
    <xdr:to>
      <xdr:col>12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1</xdr:col>
      <xdr:colOff>161925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19200" y="1543050"/>
          <a:ext cx="16192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19050</xdr:rowOff>
    </xdr:from>
    <xdr:to>
      <xdr:col>2</xdr:col>
      <xdr:colOff>647700</xdr:colOff>
      <xdr:row>12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04950" y="2971800"/>
          <a:ext cx="11239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Qualifiziert für Playoffs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Deutsche Meisterschaft </a:t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123825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28725" y="6143625"/>
          <a:ext cx="11430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200025</xdr:colOff>
      <xdr:row>19</xdr:row>
      <xdr:rowOff>352425</xdr:rowOff>
    </xdr:from>
    <xdr:ext cx="1238250" cy="771525"/>
    <xdr:sp>
      <xdr:nvSpPr>
        <xdr:cNvPr id="4" name="Text Box 4"/>
        <xdr:cNvSpPr txBox="1">
          <a:spLocks noChangeArrowheads="1"/>
        </xdr:cNvSpPr>
      </xdr:nvSpPr>
      <xdr:spPr>
        <a:xfrm>
          <a:off x="1419225" y="6496050"/>
          <a:ext cx="12382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Qualifizierungsspiele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um den Klassenerhalt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jeder gegen jeden</a:t>
          </a:r>
        </a:p>
      </xdr:txBody>
    </xdr:sp>
    <xdr:clientData/>
  </xdr:oneCellAnchor>
  <xdr:twoCellAnchor>
    <xdr:from>
      <xdr:col>6</xdr:col>
      <xdr:colOff>38100</xdr:colOff>
      <xdr:row>8</xdr:row>
      <xdr:rowOff>285750</xdr:rowOff>
    </xdr:from>
    <xdr:to>
      <xdr:col>6</xdr:col>
      <xdr:colOff>552450</xdr:colOff>
      <xdr:row>14</xdr:row>
      <xdr:rowOff>266700</xdr:rowOff>
    </xdr:to>
    <xdr:sp>
      <xdr:nvSpPr>
        <xdr:cNvPr id="5" name="Line 6"/>
        <xdr:cNvSpPr>
          <a:spLocks/>
        </xdr:cNvSpPr>
      </xdr:nvSpPr>
      <xdr:spPr>
        <a:xfrm flipV="1">
          <a:off x="5743575" y="2286000"/>
          <a:ext cx="5143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238125</xdr:rowOff>
    </xdr:from>
    <xdr:to>
      <xdr:col>6</xdr:col>
      <xdr:colOff>552450</xdr:colOff>
      <xdr:row>8</xdr:row>
      <xdr:rowOff>238125</xdr:rowOff>
    </xdr:to>
    <xdr:sp>
      <xdr:nvSpPr>
        <xdr:cNvPr id="6" name="Line 7"/>
        <xdr:cNvSpPr>
          <a:spLocks/>
        </xdr:cNvSpPr>
      </xdr:nvSpPr>
      <xdr:spPr>
        <a:xfrm flipV="1">
          <a:off x="5762625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266700</xdr:rowOff>
    </xdr:from>
    <xdr:to>
      <xdr:col>6</xdr:col>
      <xdr:colOff>552450</xdr:colOff>
      <xdr:row>12</xdr:row>
      <xdr:rowOff>257175</xdr:rowOff>
    </xdr:to>
    <xdr:sp>
      <xdr:nvSpPr>
        <xdr:cNvPr id="7" name="Line 8"/>
        <xdr:cNvSpPr>
          <a:spLocks/>
        </xdr:cNvSpPr>
      </xdr:nvSpPr>
      <xdr:spPr>
        <a:xfrm flipV="1">
          <a:off x="5753100" y="3219450"/>
          <a:ext cx="5048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228600</xdr:rowOff>
    </xdr:from>
    <xdr:to>
      <xdr:col>6</xdr:col>
      <xdr:colOff>552450</xdr:colOff>
      <xdr:row>10</xdr:row>
      <xdr:rowOff>228600</xdr:rowOff>
    </xdr:to>
    <xdr:sp>
      <xdr:nvSpPr>
        <xdr:cNvPr id="8" name="Line 9"/>
        <xdr:cNvSpPr>
          <a:spLocks/>
        </xdr:cNvSpPr>
      </xdr:nvSpPr>
      <xdr:spPr>
        <a:xfrm flipV="1">
          <a:off x="57626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561975</xdr:colOff>
      <xdr:row>12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5734050" y="2228850"/>
          <a:ext cx="53340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228600</xdr:rowOff>
    </xdr:from>
    <xdr:to>
      <xdr:col>6</xdr:col>
      <xdr:colOff>561975</xdr:colOff>
      <xdr:row>14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5762625" y="4133850"/>
          <a:ext cx="5048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228600</xdr:rowOff>
    </xdr:from>
    <xdr:to>
      <xdr:col>6</xdr:col>
      <xdr:colOff>542925</xdr:colOff>
      <xdr:row>14</xdr:row>
      <xdr:rowOff>238125</xdr:rowOff>
    </xdr:to>
    <xdr:sp>
      <xdr:nvSpPr>
        <xdr:cNvPr id="11" name="Line 12"/>
        <xdr:cNvSpPr>
          <a:spLocks/>
        </xdr:cNvSpPr>
      </xdr:nvSpPr>
      <xdr:spPr>
        <a:xfrm>
          <a:off x="5715000" y="3181350"/>
          <a:ext cx="53340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266700</xdr:rowOff>
    </xdr:from>
    <xdr:to>
      <xdr:col>6</xdr:col>
      <xdr:colOff>552450</xdr:colOff>
      <xdr:row>14</xdr:row>
      <xdr:rowOff>266700</xdr:rowOff>
    </xdr:to>
    <xdr:sp>
      <xdr:nvSpPr>
        <xdr:cNvPr id="12" name="Line 13"/>
        <xdr:cNvSpPr>
          <a:spLocks/>
        </xdr:cNvSpPr>
      </xdr:nvSpPr>
      <xdr:spPr>
        <a:xfrm flipV="1">
          <a:off x="576262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285750</xdr:rowOff>
    </xdr:from>
    <xdr:to>
      <xdr:col>11</xdr:col>
      <xdr:colOff>0</xdr:colOff>
      <xdr:row>10</xdr:row>
      <xdr:rowOff>285750</xdr:rowOff>
    </xdr:to>
    <xdr:sp>
      <xdr:nvSpPr>
        <xdr:cNvPr id="13" name="Line 14"/>
        <xdr:cNvSpPr>
          <a:spLocks/>
        </xdr:cNvSpPr>
      </xdr:nvSpPr>
      <xdr:spPr>
        <a:xfrm flipV="1">
          <a:off x="8915400" y="2286000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285750</xdr:rowOff>
    </xdr:from>
    <xdr:to>
      <xdr:col>10</xdr:col>
      <xdr:colOff>561975</xdr:colOff>
      <xdr:row>14</xdr:row>
      <xdr:rowOff>304800</xdr:rowOff>
    </xdr:to>
    <xdr:sp>
      <xdr:nvSpPr>
        <xdr:cNvPr id="14" name="Line 15"/>
        <xdr:cNvSpPr>
          <a:spLocks/>
        </xdr:cNvSpPr>
      </xdr:nvSpPr>
      <xdr:spPr>
        <a:xfrm flipV="1">
          <a:off x="8896350" y="4191000"/>
          <a:ext cx="5619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8</xdr:row>
      <xdr:rowOff>238125</xdr:rowOff>
    </xdr:from>
    <xdr:to>
      <xdr:col>10</xdr:col>
      <xdr:colOff>552450</xdr:colOff>
      <xdr:row>8</xdr:row>
      <xdr:rowOff>238125</xdr:rowOff>
    </xdr:to>
    <xdr:sp>
      <xdr:nvSpPr>
        <xdr:cNvPr id="15" name="Line 16"/>
        <xdr:cNvSpPr>
          <a:spLocks/>
        </xdr:cNvSpPr>
      </xdr:nvSpPr>
      <xdr:spPr>
        <a:xfrm flipV="1">
          <a:off x="8953500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238125</xdr:rowOff>
    </xdr:from>
    <xdr:to>
      <xdr:col>10</xdr:col>
      <xdr:colOff>533400</xdr:colOff>
      <xdr:row>12</xdr:row>
      <xdr:rowOff>238125</xdr:rowOff>
    </xdr:to>
    <xdr:sp>
      <xdr:nvSpPr>
        <xdr:cNvPr id="16" name="Line 17"/>
        <xdr:cNvSpPr>
          <a:spLocks/>
        </xdr:cNvSpPr>
      </xdr:nvSpPr>
      <xdr:spPr>
        <a:xfrm flipV="1">
          <a:off x="8934450" y="4143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228600</xdr:rowOff>
    </xdr:from>
    <xdr:to>
      <xdr:col>10</xdr:col>
      <xdr:colOff>552450</xdr:colOff>
      <xdr:row>10</xdr:row>
      <xdr:rowOff>247650</xdr:rowOff>
    </xdr:to>
    <xdr:sp>
      <xdr:nvSpPr>
        <xdr:cNvPr id="17" name="Line 18"/>
        <xdr:cNvSpPr>
          <a:spLocks/>
        </xdr:cNvSpPr>
      </xdr:nvSpPr>
      <xdr:spPr>
        <a:xfrm>
          <a:off x="8896350" y="222885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247650</xdr:rowOff>
    </xdr:from>
    <xdr:to>
      <xdr:col>10</xdr:col>
      <xdr:colOff>571500</xdr:colOff>
      <xdr:row>14</xdr:row>
      <xdr:rowOff>266700</xdr:rowOff>
    </xdr:to>
    <xdr:sp>
      <xdr:nvSpPr>
        <xdr:cNvPr id="18" name="Line 19"/>
        <xdr:cNvSpPr>
          <a:spLocks/>
        </xdr:cNvSpPr>
      </xdr:nvSpPr>
      <xdr:spPr>
        <a:xfrm>
          <a:off x="8915400" y="415290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266700</xdr:rowOff>
    </xdr:from>
    <xdr:to>
      <xdr:col>10</xdr:col>
      <xdr:colOff>542925</xdr:colOff>
      <xdr:row>14</xdr:row>
      <xdr:rowOff>266700</xdr:rowOff>
    </xdr:to>
    <xdr:sp>
      <xdr:nvSpPr>
        <xdr:cNvPr id="19" name="Line 20"/>
        <xdr:cNvSpPr>
          <a:spLocks/>
        </xdr:cNvSpPr>
      </xdr:nvSpPr>
      <xdr:spPr>
        <a:xfrm flipV="1">
          <a:off x="894397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276225</xdr:rowOff>
    </xdr:from>
    <xdr:to>
      <xdr:col>10</xdr:col>
      <xdr:colOff>533400</xdr:colOff>
      <xdr:row>10</xdr:row>
      <xdr:rowOff>276225</xdr:rowOff>
    </xdr:to>
    <xdr:sp>
      <xdr:nvSpPr>
        <xdr:cNvPr id="20" name="Line 21"/>
        <xdr:cNvSpPr>
          <a:spLocks/>
        </xdr:cNvSpPr>
      </xdr:nvSpPr>
      <xdr:spPr>
        <a:xfrm flipV="1">
          <a:off x="8934450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790575</xdr:colOff>
      <xdr:row>32</xdr:row>
      <xdr:rowOff>66675</xdr:rowOff>
    </xdr:from>
    <xdr:to>
      <xdr:col>11</xdr:col>
      <xdr:colOff>742950</xdr:colOff>
      <xdr:row>32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8439150" y="9867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790575</xdr:colOff>
      <xdr:row>33</xdr:row>
      <xdr:rowOff>76200</xdr:rowOff>
    </xdr:from>
    <xdr:to>
      <xdr:col>11</xdr:col>
      <xdr:colOff>742950</xdr:colOff>
      <xdr:row>33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8439150" y="100584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238125</xdr:rowOff>
    </xdr:from>
    <xdr:to>
      <xdr:col>13</xdr:col>
      <xdr:colOff>1171575</xdr:colOff>
      <xdr:row>30</xdr:row>
      <xdr:rowOff>238125</xdr:rowOff>
    </xdr:to>
    <xdr:sp>
      <xdr:nvSpPr>
        <xdr:cNvPr id="23" name="Line 31"/>
        <xdr:cNvSpPr>
          <a:spLocks/>
        </xdr:cNvSpPr>
      </xdr:nvSpPr>
      <xdr:spPr>
        <a:xfrm>
          <a:off x="5772150" y="954405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76200</xdr:rowOff>
    </xdr:from>
    <xdr:to>
      <xdr:col>10</xdr:col>
      <xdr:colOff>542925</xdr:colOff>
      <xdr:row>26</xdr:row>
      <xdr:rowOff>76200</xdr:rowOff>
    </xdr:to>
    <xdr:sp>
      <xdr:nvSpPr>
        <xdr:cNvPr id="24" name="Line 37"/>
        <xdr:cNvSpPr>
          <a:spLocks/>
        </xdr:cNvSpPr>
      </xdr:nvSpPr>
      <xdr:spPr>
        <a:xfrm>
          <a:off x="5724525" y="82391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26</xdr:row>
      <xdr:rowOff>142875</xdr:rowOff>
    </xdr:from>
    <xdr:to>
      <xdr:col>10</xdr:col>
      <xdr:colOff>542925</xdr:colOff>
      <xdr:row>27</xdr:row>
      <xdr:rowOff>123825</xdr:rowOff>
    </xdr:to>
    <xdr:sp>
      <xdr:nvSpPr>
        <xdr:cNvPr id="25" name="Line 38"/>
        <xdr:cNvSpPr>
          <a:spLocks/>
        </xdr:cNvSpPr>
      </xdr:nvSpPr>
      <xdr:spPr>
        <a:xfrm flipV="1">
          <a:off x="8924925" y="8305800"/>
          <a:ext cx="514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257175</xdr:rowOff>
    </xdr:from>
    <xdr:to>
      <xdr:col>13</xdr:col>
      <xdr:colOff>1152525</xdr:colOff>
      <xdr:row>28</xdr:row>
      <xdr:rowOff>266700</xdr:rowOff>
    </xdr:to>
    <xdr:sp>
      <xdr:nvSpPr>
        <xdr:cNvPr id="26" name="Line 39"/>
        <xdr:cNvSpPr>
          <a:spLocks/>
        </xdr:cNvSpPr>
      </xdr:nvSpPr>
      <xdr:spPr>
        <a:xfrm>
          <a:off x="8896350" y="9058275"/>
          <a:ext cx="3076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23</xdr:row>
      <xdr:rowOff>28575</xdr:rowOff>
    </xdr:from>
    <xdr:to>
      <xdr:col>5</xdr:col>
      <xdr:colOff>209550</xdr:colOff>
      <xdr:row>24</xdr:row>
      <xdr:rowOff>171450</xdr:rowOff>
    </xdr:to>
    <xdr:sp>
      <xdr:nvSpPr>
        <xdr:cNvPr id="27" name="AutoShape 42"/>
        <xdr:cNvSpPr>
          <a:spLocks/>
        </xdr:cNvSpPr>
      </xdr:nvSpPr>
      <xdr:spPr>
        <a:xfrm>
          <a:off x="3800475" y="7620000"/>
          <a:ext cx="676275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142875</xdr:rowOff>
    </xdr:from>
    <xdr:to>
      <xdr:col>6</xdr:col>
      <xdr:colOff>561975</xdr:colOff>
      <xdr:row>30</xdr:row>
      <xdr:rowOff>104775</xdr:rowOff>
    </xdr:to>
    <xdr:sp>
      <xdr:nvSpPr>
        <xdr:cNvPr id="28" name="Line 43"/>
        <xdr:cNvSpPr>
          <a:spLocks/>
        </xdr:cNvSpPr>
      </xdr:nvSpPr>
      <xdr:spPr>
        <a:xfrm flipV="1">
          <a:off x="5715000" y="8943975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76200</xdr:rowOff>
    </xdr:from>
    <xdr:to>
      <xdr:col>6</xdr:col>
      <xdr:colOff>533400</xdr:colOff>
      <xdr:row>28</xdr:row>
      <xdr:rowOff>47625</xdr:rowOff>
    </xdr:to>
    <xdr:sp>
      <xdr:nvSpPr>
        <xdr:cNvPr id="29" name="Line 44"/>
        <xdr:cNvSpPr>
          <a:spLocks/>
        </xdr:cNvSpPr>
      </xdr:nvSpPr>
      <xdr:spPr>
        <a:xfrm>
          <a:off x="5715000" y="8239125"/>
          <a:ext cx="52387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30" name="Line 49"/>
        <xdr:cNvSpPr>
          <a:spLocks/>
        </xdr:cNvSpPr>
      </xdr:nvSpPr>
      <xdr:spPr>
        <a:xfrm>
          <a:off x="8924925" y="6296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47625</xdr:rowOff>
    </xdr:from>
    <xdr:to>
      <xdr:col>8</xdr:col>
      <xdr:colOff>1114425</xdr:colOff>
      <xdr:row>6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57175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38100</xdr:rowOff>
    </xdr:from>
    <xdr:to>
      <xdr:col>8</xdr:col>
      <xdr:colOff>9525</xdr:colOff>
      <xdr:row>6</xdr:row>
      <xdr:rowOff>76200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476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</xdr:row>
      <xdr:rowOff>28575</xdr:rowOff>
    </xdr:from>
    <xdr:to>
      <xdr:col>13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20</xdr:row>
      <xdr:rowOff>38100</xdr:rowOff>
    </xdr:from>
    <xdr:to>
      <xdr:col>13</xdr:col>
      <xdr:colOff>9525</xdr:colOff>
      <xdr:row>37</xdr:row>
      <xdr:rowOff>47625</xdr:rowOff>
    </xdr:to>
    <xdr:graphicFrame>
      <xdr:nvGraphicFramePr>
        <xdr:cNvPr id="3" name="Diagramm 3"/>
        <xdr:cNvGraphicFramePr/>
      </xdr:nvGraphicFramePr>
      <xdr:xfrm>
        <a:off x="1095375" y="4276725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114300</xdr:rowOff>
    </xdr:from>
    <xdr:to>
      <xdr:col>11</xdr:col>
      <xdr:colOff>285750</xdr:colOff>
      <xdr:row>32</xdr:row>
      <xdr:rowOff>114300</xdr:rowOff>
    </xdr:to>
    <xdr:sp>
      <xdr:nvSpPr>
        <xdr:cNvPr id="4" name="Gerade Verbindung 5"/>
        <xdr:cNvSpPr>
          <a:spLocks/>
        </xdr:cNvSpPr>
      </xdr:nvSpPr>
      <xdr:spPr>
        <a:xfrm flipV="1">
          <a:off x="1304925" y="6638925"/>
          <a:ext cx="4981575" cy="0"/>
        </a:xfrm>
        <a:prstGeom prst="line">
          <a:avLst/>
        </a:prstGeom>
        <a:noFill/>
        <a:ln w="28575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571500</xdr:colOff>
      <xdr:row>3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57150</xdr:rowOff>
    </xdr:from>
    <xdr:to>
      <xdr:col>13</xdr:col>
      <xdr:colOff>742950</xdr:colOff>
      <xdr:row>2</xdr:row>
      <xdr:rowOff>190500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71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19050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0</xdr:row>
      <xdr:rowOff>66675</xdr:rowOff>
    </xdr:from>
    <xdr:to>
      <xdr:col>13</xdr:col>
      <xdr:colOff>419100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J48"/>
  <sheetViews>
    <sheetView showGridLines="0" showRowColHeaders="0" zoomScale="70" zoomScaleNormal="70" zoomScalePageLayoutView="0" workbookViewId="0" topLeftCell="A1">
      <selection activeCell="A32" sqref="A32"/>
    </sheetView>
  </sheetViews>
  <sheetFormatPr defaultColWidth="11.421875" defaultRowHeight="15"/>
  <cols>
    <col min="1" max="1" width="6.7109375" style="50" customWidth="1"/>
    <col min="2" max="2" width="13.57421875" style="50" customWidth="1"/>
    <col min="3" max="3" width="14.140625" style="50" customWidth="1"/>
    <col min="4" max="5" width="13.28125" style="230" customWidth="1"/>
    <col min="6" max="6" width="1.8515625" style="50" bestFit="1" customWidth="1"/>
    <col min="7" max="8" width="13.28125" style="230" customWidth="1"/>
    <col min="9" max="9" width="6.7109375" style="50" customWidth="1"/>
    <col min="10" max="16384" width="11.421875" style="50" customWidth="1"/>
  </cols>
  <sheetData>
    <row r="2" spans="1:9" ht="52.5">
      <c r="A2" s="264" t="s">
        <v>260</v>
      </c>
      <c r="B2" s="264"/>
      <c r="C2" s="264"/>
      <c r="D2" s="264"/>
      <c r="E2" s="264"/>
      <c r="F2" s="264"/>
      <c r="G2" s="264"/>
      <c r="H2" s="264"/>
      <c r="I2" s="264"/>
    </row>
    <row r="3" spans="2:8" ht="38.25">
      <c r="B3" s="263" t="s">
        <v>268</v>
      </c>
      <c r="C3" s="263"/>
      <c r="D3" s="263"/>
      <c r="E3" s="263"/>
      <c r="F3" s="263"/>
      <c r="G3" s="263"/>
      <c r="H3" s="263"/>
    </row>
    <row r="4" spans="2:10" ht="30.75">
      <c r="B4" s="249" t="str">
        <f>"Saison "&amp;Saisondaten!B3</f>
        <v>Saison 2018</v>
      </c>
      <c r="C4" s="249"/>
      <c r="D4" s="249"/>
      <c r="E4" s="249"/>
      <c r="F4" s="249"/>
      <c r="G4" s="249"/>
      <c r="H4" s="249"/>
      <c r="J4" s="230"/>
    </row>
    <row r="5" spans="2:10" ht="26.25">
      <c r="B5" s="231"/>
      <c r="C5" s="231"/>
      <c r="D5" s="231"/>
      <c r="E5" s="231"/>
      <c r="F5" s="231"/>
      <c r="G5" s="231"/>
      <c r="H5" s="231"/>
      <c r="J5" s="230"/>
    </row>
    <row r="6" spans="2:10" ht="26.25">
      <c r="B6" s="231"/>
      <c r="C6" s="231"/>
      <c r="D6" s="231"/>
      <c r="E6" s="231"/>
      <c r="F6" s="231"/>
      <c r="G6" s="231"/>
      <c r="H6" s="231"/>
      <c r="J6" s="230"/>
    </row>
    <row r="7" spans="2:10" ht="26.25">
      <c r="B7" s="231"/>
      <c r="C7" s="231"/>
      <c r="D7" s="231"/>
      <c r="E7" s="231"/>
      <c r="F7" s="231"/>
      <c r="G7" s="231"/>
      <c r="H7" s="231"/>
      <c r="J7" s="230"/>
    </row>
    <row r="8" spans="2:10" ht="26.25">
      <c r="B8" s="231"/>
      <c r="C8" s="231"/>
      <c r="D8" s="231"/>
      <c r="E8" s="231"/>
      <c r="F8" s="231"/>
      <c r="G8" s="231"/>
      <c r="H8" s="231"/>
      <c r="J8" s="230"/>
    </row>
    <row r="9" spans="2:10" ht="26.25">
      <c r="B9" s="231"/>
      <c r="C9" s="231"/>
      <c r="D9" s="231"/>
      <c r="E9" s="231"/>
      <c r="F9" s="231"/>
      <c r="G9" s="231"/>
      <c r="H9" s="231"/>
      <c r="J9" s="230"/>
    </row>
    <row r="10" spans="2:10" ht="26.25">
      <c r="B10" s="231"/>
      <c r="C10" s="231"/>
      <c r="D10" s="231"/>
      <c r="E10" s="231"/>
      <c r="F10" s="231"/>
      <c r="G10" s="231"/>
      <c r="H10" s="231"/>
      <c r="J10" s="230"/>
    </row>
    <row r="11" ht="16.5"/>
    <row r="12" ht="16.5">
      <c r="J12" s="230"/>
    </row>
    <row r="13" ht="16.5">
      <c r="J13" s="230"/>
    </row>
    <row r="15" spans="2:8" ht="25.5">
      <c r="B15" s="250" t="s">
        <v>263</v>
      </c>
      <c r="C15" s="251"/>
      <c r="D15" s="241" t="str">
        <f>TEXT(Saisondaten!B8,"[$-F800]TTTT, MMMM TT, JJJJ")</f>
        <v>Samstag, 5. Mai 2018</v>
      </c>
      <c r="E15" s="241"/>
      <c r="F15" s="245" t="s">
        <v>23</v>
      </c>
      <c r="G15" s="241" t="str">
        <f>TEXT(Saisondaten!C8,"[$-F800]TTTT, MMMM TT, JJJJ")</f>
        <v>Sonntag, 6. Mai 2018</v>
      </c>
      <c r="H15" s="247"/>
    </row>
    <row r="16" spans="2:8" ht="16.5">
      <c r="B16" s="243" t="str">
        <f>"in "&amp;Saisondaten!D8&amp;" &amp; "&amp;Saisondaten!E8</f>
        <v>in Liblar &amp; Glauchau</v>
      </c>
      <c r="C16" s="244"/>
      <c r="D16" s="242"/>
      <c r="E16" s="242"/>
      <c r="F16" s="246"/>
      <c r="G16" s="242"/>
      <c r="H16" s="248"/>
    </row>
    <row r="17" spans="2:8" ht="17.25">
      <c r="B17" s="230"/>
      <c r="C17" s="230"/>
      <c r="D17" s="232"/>
      <c r="E17" s="232"/>
      <c r="F17" s="54"/>
      <c r="G17" s="232"/>
      <c r="H17" s="232"/>
    </row>
    <row r="18" spans="2:8" ht="25.5">
      <c r="B18" s="250" t="s">
        <v>264</v>
      </c>
      <c r="C18" s="251"/>
      <c r="D18" s="241" t="str">
        <f>TEXT(Saisondaten!B9,"[$-F800]TTTT, MMMM TT, JJJJ")</f>
        <v>Samstag, 2. Juni 2018</v>
      </c>
      <c r="E18" s="241"/>
      <c r="F18" s="245" t="s">
        <v>23</v>
      </c>
      <c r="G18" s="241" t="str">
        <f>TEXT(Saisondaten!C9,"[$-F800]TTTT, MMMM TT, JJJJ")</f>
        <v>Sonntag, 3. Juni 2018</v>
      </c>
      <c r="H18" s="247"/>
    </row>
    <row r="19" spans="2:8" ht="16.5">
      <c r="B19" s="243" t="str">
        <f>"in "&amp;Saisondaten!D9</f>
        <v>in Berne</v>
      </c>
      <c r="C19" s="244"/>
      <c r="D19" s="242"/>
      <c r="E19" s="242"/>
      <c r="F19" s="246"/>
      <c r="G19" s="242"/>
      <c r="H19" s="248"/>
    </row>
    <row r="20" spans="2:8" ht="17.25">
      <c r="B20" s="230"/>
      <c r="C20" s="230"/>
      <c r="D20" s="232"/>
      <c r="E20" s="232"/>
      <c r="F20" s="54"/>
      <c r="G20" s="232"/>
      <c r="H20" s="232"/>
    </row>
    <row r="21" spans="2:8" ht="25.5">
      <c r="B21" s="250" t="s">
        <v>265</v>
      </c>
      <c r="C21" s="251"/>
      <c r="D21" s="241" t="str">
        <f>TEXT(Saisondaten!B10,"[$-F800]TTTT, MMMM TT, JJJJ")</f>
        <v>Samstag, 30. Juni 2018</v>
      </c>
      <c r="E21" s="241"/>
      <c r="F21" s="245" t="s">
        <v>23</v>
      </c>
      <c r="G21" s="241" t="str">
        <f>TEXT(Saisondaten!C10,"[$-F800]TTTT, MMMM TT, JJJJ")</f>
        <v>Sonntag, 1. Juli 2018</v>
      </c>
      <c r="H21" s="247"/>
    </row>
    <row r="22" spans="2:8" ht="16.5">
      <c r="B22" s="243" t="str">
        <f>"in "&amp;Saisondaten!D10&amp;" &amp; "&amp;Saisondaten!E10</f>
        <v>in Göttingen &amp; Hamburg</v>
      </c>
      <c r="C22" s="244"/>
      <c r="D22" s="242"/>
      <c r="E22" s="242"/>
      <c r="F22" s="246"/>
      <c r="G22" s="242"/>
      <c r="H22" s="248"/>
    </row>
    <row r="23" spans="2:8" ht="17.25">
      <c r="B23" s="230"/>
      <c r="C23" s="230"/>
      <c r="D23" s="232"/>
      <c r="E23" s="232"/>
      <c r="F23" s="54"/>
      <c r="G23" s="232"/>
      <c r="H23" s="232"/>
    </row>
    <row r="24" spans="2:8" ht="25.5">
      <c r="B24" s="250" t="s">
        <v>266</v>
      </c>
      <c r="C24" s="251"/>
      <c r="D24" s="241" t="str">
        <f>TEXT(Saisondaten!B11,"[$-F800]TTTT, MMMM TT, JJJJ")</f>
        <v>Samstag, 21. Juli 2018</v>
      </c>
      <c r="E24" s="241"/>
      <c r="F24" s="245" t="s">
        <v>23</v>
      </c>
      <c r="G24" s="241" t="str">
        <f>TEXT(Saisondaten!C11,"[$-F800]TTTT, MMMM TT, JJJJ")</f>
        <v>Sonntag, 22. Juli 2018</v>
      </c>
      <c r="H24" s="247"/>
    </row>
    <row r="25" spans="2:8" ht="16.5">
      <c r="B25" s="243" t="str">
        <f>"in "&amp;Saisondaten!D11</f>
        <v>in Brandenburg a.d. Havel</v>
      </c>
      <c r="C25" s="244"/>
      <c r="D25" s="242"/>
      <c r="E25" s="242"/>
      <c r="F25" s="246"/>
      <c r="G25" s="242"/>
      <c r="H25" s="248"/>
    </row>
    <row r="26" spans="2:8" ht="17.25">
      <c r="B26" s="230"/>
      <c r="C26" s="230"/>
      <c r="D26" s="232"/>
      <c r="E26" s="232"/>
      <c r="F26" s="54"/>
      <c r="G26" s="232"/>
      <c r="H26" s="232"/>
    </row>
    <row r="27" spans="2:8" ht="25.5">
      <c r="B27" s="250" t="s">
        <v>267</v>
      </c>
      <c r="C27" s="251"/>
      <c r="D27" s="241" t="str">
        <f>TEXT(Saisondaten!B12,"[$-F800]TTTT, MMMM TT, JJJJ")</f>
        <v>Freitag, 14. September 2018</v>
      </c>
      <c r="E27" s="241"/>
      <c r="F27" s="245" t="s">
        <v>23</v>
      </c>
      <c r="G27" s="241" t="str">
        <f>TEXT(Saisondaten!C12,"[$-F800]TTTT, MMMM TT, JJJJ")</f>
        <v>Sonntag, 16. September 2018</v>
      </c>
      <c r="H27" s="247"/>
    </row>
    <row r="28" spans="2:8" ht="16.5">
      <c r="B28" s="243" t="str">
        <f>"in "&amp;Saisondaten!D12</f>
        <v>in Duisburg</v>
      </c>
      <c r="C28" s="244"/>
      <c r="D28" s="242"/>
      <c r="E28" s="242"/>
      <c r="F28" s="246"/>
      <c r="G28" s="242"/>
      <c r="H28" s="248"/>
    </row>
    <row r="30" spans="3:7" ht="33">
      <c r="C30" s="252" t="s">
        <v>261</v>
      </c>
      <c r="D30" s="253"/>
      <c r="E30" s="253"/>
      <c r="F30" s="253"/>
      <c r="G30" s="254"/>
    </row>
    <row r="31" spans="3:7" ht="25.5">
      <c r="C31" s="271" t="s">
        <v>262</v>
      </c>
      <c r="D31" s="265"/>
      <c r="E31" s="265" t="s">
        <v>37</v>
      </c>
      <c r="F31" s="265"/>
      <c r="G31" s="266"/>
    </row>
    <row r="32" spans="3:7" ht="17.25">
      <c r="C32" s="261" t="str">
        <f>Saisondaten!B18</f>
        <v>KRM Essen</v>
      </c>
      <c r="D32" s="262"/>
      <c r="E32" s="262" t="str">
        <f>Saisondaten!C18</f>
        <v>ACC Hamburg</v>
      </c>
      <c r="F32" s="262"/>
      <c r="G32" s="270"/>
    </row>
    <row r="33" spans="3:7" ht="17.25">
      <c r="C33" s="259" t="str">
        <f>Saisondaten!B19</f>
        <v>WSF Liblar</v>
      </c>
      <c r="D33" s="260"/>
      <c r="E33" s="260" t="str">
        <f>Saisondaten!C19</f>
        <v>KCNW Berlin</v>
      </c>
      <c r="F33" s="260"/>
      <c r="G33" s="269"/>
    </row>
    <row r="34" spans="3:7" ht="17.25">
      <c r="C34" s="257" t="str">
        <f>Saisondaten!B20</f>
        <v>1. MKC Duisburg</v>
      </c>
      <c r="D34" s="258"/>
      <c r="E34" s="258" t="str">
        <f>Saisondaten!C20</f>
        <v>RSV Hannover</v>
      </c>
      <c r="F34" s="258"/>
      <c r="G34" s="268"/>
    </row>
    <row r="35" spans="3:7" ht="17.25">
      <c r="C35" s="259" t="str">
        <f>Saisondaten!B21</f>
        <v>KC Wetter</v>
      </c>
      <c r="D35" s="260"/>
      <c r="E35" s="260" t="str">
        <f>Saisondaten!C21</f>
        <v>VK Berlin</v>
      </c>
      <c r="F35" s="260"/>
      <c r="G35" s="269"/>
    </row>
    <row r="36" spans="3:7" ht="17.25">
      <c r="C36" s="257" t="str">
        <f>Saisondaten!B22</f>
        <v>KGW Essen</v>
      </c>
      <c r="D36" s="258"/>
      <c r="E36" s="258" t="str">
        <f>Saisondaten!C22</f>
        <v>KSV Glauchau</v>
      </c>
      <c r="F36" s="258"/>
      <c r="G36" s="268"/>
    </row>
    <row r="37" spans="3:7" ht="17.25">
      <c r="C37" s="255" t="str">
        <f>Saisondaten!B23</f>
        <v>Göttinger PC</v>
      </c>
      <c r="D37" s="256"/>
      <c r="E37" s="256" t="str">
        <f>Saisondaten!C23</f>
        <v>KSVH Berlin</v>
      </c>
      <c r="F37" s="256"/>
      <c r="G37" s="267"/>
    </row>
    <row r="41" ht="16.5">
      <c r="D41" s="50"/>
    </row>
    <row r="42" ht="16.5">
      <c r="D42" s="50"/>
    </row>
    <row r="43" ht="16.5">
      <c r="D43" s="50"/>
    </row>
    <row r="44" ht="16.5">
      <c r="D44" s="50"/>
    </row>
    <row r="45" ht="16.5">
      <c r="D45" s="50"/>
    </row>
    <row r="46" ht="16.5">
      <c r="D46" s="50"/>
    </row>
    <row r="47" ht="16.5">
      <c r="D47" s="50"/>
    </row>
    <row r="48" ht="16.5">
      <c r="D48" s="50"/>
    </row>
  </sheetData>
  <sheetProtection sheet="1" objects="1" scenarios="1" selectLockedCells="1"/>
  <mergeCells count="43">
    <mergeCell ref="B3:H3"/>
    <mergeCell ref="A2:I2"/>
    <mergeCell ref="E31:G31"/>
    <mergeCell ref="E37:G37"/>
    <mergeCell ref="E36:G36"/>
    <mergeCell ref="E35:G35"/>
    <mergeCell ref="E34:G34"/>
    <mergeCell ref="E33:G33"/>
    <mergeCell ref="E32:G32"/>
    <mergeCell ref="C31:D31"/>
    <mergeCell ref="C37:D37"/>
    <mergeCell ref="C36:D36"/>
    <mergeCell ref="C35:D35"/>
    <mergeCell ref="C34:D34"/>
    <mergeCell ref="C33:D33"/>
    <mergeCell ref="C32:D32"/>
    <mergeCell ref="F27:F28"/>
    <mergeCell ref="C30:G30"/>
    <mergeCell ref="G24:H25"/>
    <mergeCell ref="D24:E25"/>
    <mergeCell ref="G21:H22"/>
    <mergeCell ref="D21:E22"/>
    <mergeCell ref="B27:C27"/>
    <mergeCell ref="B25:C25"/>
    <mergeCell ref="F24:F25"/>
    <mergeCell ref="B28:C28"/>
    <mergeCell ref="G27:H28"/>
    <mergeCell ref="D27:E28"/>
    <mergeCell ref="B4:H4"/>
    <mergeCell ref="B15:C15"/>
    <mergeCell ref="B18:C18"/>
    <mergeCell ref="B21:C21"/>
    <mergeCell ref="B24:C24"/>
    <mergeCell ref="D15:E16"/>
    <mergeCell ref="G15:H16"/>
    <mergeCell ref="G18:H19"/>
    <mergeCell ref="D18:E19"/>
    <mergeCell ref="B16:C16"/>
    <mergeCell ref="B22:C22"/>
    <mergeCell ref="B19:C19"/>
    <mergeCell ref="F15:F16"/>
    <mergeCell ref="F18:F19"/>
    <mergeCell ref="F21:F2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J57"/>
  <sheetViews>
    <sheetView showGridLines="0" showRowColHeaders="0" zoomScalePageLayoutView="0" workbookViewId="0" topLeftCell="A1">
      <selection activeCell="K33" sqref="K33"/>
    </sheetView>
  </sheetViews>
  <sheetFormatPr defaultColWidth="11.421875" defaultRowHeight="15"/>
  <cols>
    <col min="1" max="1" width="5.7109375" style="62" bestFit="1" customWidth="1"/>
    <col min="2" max="2" width="1.7109375" style="62" bestFit="1" customWidth="1"/>
    <col min="3" max="3" width="5.28125" style="62" bestFit="1" customWidth="1"/>
    <col min="4" max="4" width="6.140625" style="62" bestFit="1" customWidth="1"/>
    <col min="5" max="5" width="10.00390625" style="62" bestFit="1" customWidth="1"/>
    <col min="6" max="6" width="17.00390625" style="62" customWidth="1"/>
    <col min="7" max="7" width="1.57421875" style="62" bestFit="1" customWidth="1"/>
    <col min="8" max="8" width="17.00390625" style="62" customWidth="1"/>
    <col min="9" max="9" width="4.421875" style="62" customWidth="1"/>
    <col min="10" max="10" width="1.57421875" style="62" bestFit="1" customWidth="1"/>
    <col min="11" max="11" width="4.421875" style="62" customWidth="1"/>
    <col min="12" max="12" width="10.7109375" style="62" customWidth="1"/>
    <col min="13" max="13" width="0.9921875" style="62" customWidth="1"/>
    <col min="14" max="14" width="10.7109375" style="62" customWidth="1"/>
    <col min="15" max="15" width="11.421875" style="62" customWidth="1"/>
    <col min="16" max="16" width="7.140625" style="62" hidden="1" customWidth="1"/>
    <col min="17" max="17" width="16.28125" style="62" hidden="1" customWidth="1"/>
    <col min="18" max="18" width="2.140625" style="62" hidden="1" customWidth="1"/>
    <col min="19" max="20" width="2.57421875" style="62" hidden="1" customWidth="1"/>
    <col min="21" max="22" width="3.28125" style="62" hidden="1" customWidth="1"/>
    <col min="23" max="23" width="18.140625" style="62" hidden="1" customWidth="1"/>
    <col min="24" max="24" width="2.140625" style="62" hidden="1" customWidth="1"/>
    <col min="25" max="26" width="2.57421875" style="62" hidden="1" customWidth="1"/>
    <col min="27" max="28" width="3.28125" style="62" hidden="1" customWidth="1"/>
    <col min="29" max="29" width="11.421875" style="62" hidden="1" customWidth="1"/>
    <col min="30" max="30" width="6.421875" style="62" hidden="1" customWidth="1"/>
    <col min="31" max="31" width="18.140625" style="62" hidden="1" customWidth="1"/>
    <col min="32" max="32" width="3.57421875" style="62" hidden="1" customWidth="1"/>
    <col min="33" max="34" width="2.57421875" style="62" hidden="1" customWidth="1"/>
    <col min="35" max="35" width="2.28125" style="62" hidden="1" customWidth="1"/>
    <col min="36" max="37" width="2.140625" style="62" hidden="1" customWidth="1"/>
    <col min="38" max="38" width="11.28125" style="62" hidden="1" customWidth="1"/>
    <col min="39" max="40" width="2.140625" style="62" hidden="1" customWidth="1"/>
    <col min="41" max="41" width="11.28125" style="62" hidden="1" customWidth="1"/>
    <col min="42" max="42" width="5.7109375" style="62" hidden="1" customWidth="1"/>
    <col min="43" max="43" width="2.140625" style="62" hidden="1" customWidth="1"/>
    <col min="44" max="44" width="11.28125" style="62" hidden="1" customWidth="1"/>
    <col min="45" max="45" width="5.7109375" style="62" hidden="1" customWidth="1"/>
    <col min="46" max="46" width="2.140625" style="62" hidden="1" customWidth="1"/>
    <col min="47" max="47" width="11.28125" style="62" hidden="1" customWidth="1"/>
    <col min="48" max="48" width="5.7109375" style="62" hidden="1" customWidth="1"/>
    <col min="49" max="49" width="2.140625" style="62" hidden="1" customWidth="1"/>
    <col min="50" max="50" width="11.28125" style="62" hidden="1" customWidth="1"/>
    <col min="51" max="51" width="5.140625" style="62" hidden="1" customWidth="1"/>
    <col min="52" max="53" width="3.00390625" style="62" hidden="1" customWidth="1"/>
    <col min="54" max="54" width="18.28125" style="62" hidden="1" customWidth="1"/>
    <col min="55" max="55" width="17.140625" style="62" hidden="1" customWidth="1"/>
    <col min="56" max="56" width="7.421875" style="62" hidden="1" customWidth="1"/>
    <col min="57" max="57" width="25.421875" style="62" hidden="1" customWidth="1"/>
    <col min="58" max="59" width="18.28125" style="62" hidden="1" customWidth="1"/>
    <col min="60" max="60" width="5.7109375" style="62" hidden="1" customWidth="1"/>
    <col min="61" max="61" width="18.28125" style="62" hidden="1" customWidth="1"/>
    <col min="62" max="62" width="17.140625" style="62" hidden="1" customWidth="1"/>
    <col min="63" max="63" width="5.7109375" style="62" hidden="1" customWidth="1"/>
    <col min="64" max="85" width="10.7109375" style="62" customWidth="1"/>
    <col min="86" max="16384" width="11.421875" style="62" customWidth="1"/>
  </cols>
  <sheetData>
    <row r="1" spans="1:14" ht="38.25" customHeight="1">
      <c r="A1" s="351" t="str">
        <f>"Kanupolo Bundesliga "&amp;Saisondaten!$B$3&amp;""</f>
        <v>Kanupolo Bundesliga 2018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352" t="str">
        <f>"Playoffs &amp; Playdowns"&amp;" in "&amp;Saisondaten!$D$12</f>
        <v>Playoffs &amp; Playdowns in Duisburg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7.25">
      <c r="A5" s="347" t="str">
        <f>TEXT(Saisondaten!$B$12,"[$-F800]TTTT, MMMM TT, JJJJ")</f>
        <v>Freitag, 14. September 2018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36" ht="16.5">
      <c r="A6" s="49" t="s">
        <v>38</v>
      </c>
      <c r="B6" s="49"/>
      <c r="C6" s="49" t="s">
        <v>39</v>
      </c>
      <c r="D6" s="49" t="s">
        <v>40</v>
      </c>
      <c r="E6" s="49" t="s">
        <v>8</v>
      </c>
      <c r="F6" s="348" t="s">
        <v>7</v>
      </c>
      <c r="G6" s="348"/>
      <c r="H6" s="348"/>
      <c r="I6" s="348" t="s">
        <v>41</v>
      </c>
      <c r="J6" s="348"/>
      <c r="K6" s="348"/>
      <c r="L6" s="348" t="s">
        <v>26</v>
      </c>
      <c r="M6" s="348"/>
      <c r="N6" s="348"/>
      <c r="P6" s="62" t="s">
        <v>68</v>
      </c>
      <c r="Q6" s="62" t="s">
        <v>66</v>
      </c>
      <c r="R6" s="62" t="s">
        <v>54</v>
      </c>
      <c r="S6" s="62" t="s">
        <v>47</v>
      </c>
      <c r="T6" s="62" t="s">
        <v>53</v>
      </c>
      <c r="U6" s="62" t="s">
        <v>50</v>
      </c>
      <c r="V6" s="62" t="s">
        <v>23</v>
      </c>
      <c r="W6" s="62" t="s">
        <v>67</v>
      </c>
      <c r="X6" s="62" t="s">
        <v>54</v>
      </c>
      <c r="Y6" s="62" t="s">
        <v>47</v>
      </c>
      <c r="Z6" s="62" t="s">
        <v>53</v>
      </c>
      <c r="AA6" s="62" t="s">
        <v>50</v>
      </c>
      <c r="AB6" s="62" t="s">
        <v>23</v>
      </c>
      <c r="AE6" s="63" t="s">
        <v>45</v>
      </c>
      <c r="AF6" s="62" t="s">
        <v>54</v>
      </c>
      <c r="AG6" s="62" t="s">
        <v>47</v>
      </c>
      <c r="AH6" s="62" t="s">
        <v>53</v>
      </c>
      <c r="AI6" s="62" t="s">
        <v>50</v>
      </c>
      <c r="AJ6" s="62" t="s">
        <v>23</v>
      </c>
    </row>
    <row r="7" spans="1:62" ht="16.5">
      <c r="A7" s="140">
        <f>'4.Spieltag'!A44+1</f>
        <v>133</v>
      </c>
      <c r="B7" s="140" t="s">
        <v>27</v>
      </c>
      <c r="C7" s="140">
        <v>1</v>
      </c>
      <c r="D7" s="141">
        <v>0.3333333333333333</v>
      </c>
      <c r="E7" s="142" t="s">
        <v>176</v>
      </c>
      <c r="F7" s="140" t="str">
        <f>BG16</f>
        <v>9. Platz</v>
      </c>
      <c r="G7" s="140" t="s">
        <v>43</v>
      </c>
      <c r="H7" s="140" t="str">
        <f>BG19</f>
        <v>12. Platz</v>
      </c>
      <c r="I7" s="143"/>
      <c r="J7" s="140" t="s">
        <v>43</v>
      </c>
      <c r="K7" s="143"/>
      <c r="L7" s="202" t="str">
        <f>IF(VLOOKUP(A7,Schiedsrichter!$A$3:$I$176,8,FALSE)=0,"-",VLOOKUP(A7,Schiedsrichter!$A$3:$I$176,8,FALSE))</f>
        <v>3. Platz</v>
      </c>
      <c r="M7" s="200" t="s">
        <v>249</v>
      </c>
      <c r="N7" s="205" t="str">
        <f>IF(VLOOKUP(A7,Schiedsrichter!$A$3:$I$176,9,FALSE)=0,"-",VLOOKUP(A7,Schiedsrichter!$A$3:$I$176,9,FALSE))</f>
        <v>7. Platz</v>
      </c>
      <c r="P7" s="62" t="str">
        <f>IF(OR(I7="",K7=""),"na",1)</f>
        <v>na</v>
      </c>
      <c r="Q7" s="62" t="str">
        <f>F7</f>
        <v>9. Platz</v>
      </c>
      <c r="R7" s="62">
        <f>IF($P7=1,IF($I7&gt;$K7,1,0),"")</f>
      </c>
      <c r="S7" s="62">
        <f>IF($P7=1,IF($I7=$K7,1,0),"")</f>
      </c>
      <c r="T7" s="62">
        <f>IF($P7=1,IF($I7&lt;$K7,1,0),"")</f>
      </c>
      <c r="U7" s="62">
        <f>IF($P7=1,$I7,"")</f>
      </c>
      <c r="V7" s="62">
        <f>IF($P7=1,$K7,"")</f>
      </c>
      <c r="W7" s="62" t="str">
        <f>H7</f>
        <v>12. Platz</v>
      </c>
      <c r="X7" s="62">
        <f>IF($P7=1,IF($I7&lt;$K7,1,0),"")</f>
      </c>
      <c r="Y7" s="62">
        <f>IF($P7=1,IF($I7=$K7,1,0),"")</f>
      </c>
      <c r="Z7" s="62">
        <f>IF($P7=1,IF($I7&gt;$K7,1,0),"")</f>
      </c>
      <c r="AA7" s="62">
        <f>IF($P7=1,$K7,"")</f>
      </c>
      <c r="AB7" s="62">
        <f>IF($P7=1,$I7,"")</f>
      </c>
      <c r="AE7" s="62" t="str">
        <f>BG16</f>
        <v>9. Platz</v>
      </c>
      <c r="AF7" s="62">
        <f aca="true" t="shared" si="0" ref="AF7:AJ10">SUMIF($Q$7:$Q$22,$AE7,R$7:R$22)</f>
        <v>0</v>
      </c>
      <c r="AG7" s="62">
        <f t="shared" si="0"/>
        <v>0</v>
      </c>
      <c r="AH7" s="62">
        <f t="shared" si="0"/>
        <v>0</v>
      </c>
      <c r="AI7" s="62">
        <f t="shared" si="0"/>
        <v>0</v>
      </c>
      <c r="AJ7" s="62">
        <f t="shared" si="0"/>
        <v>0</v>
      </c>
      <c r="BE7" s="148" t="s">
        <v>217</v>
      </c>
      <c r="BF7" s="62" t="str">
        <f>IF(TabellenDB!Q50=264,"ja","nein")</f>
        <v>nein</v>
      </c>
      <c r="BG7" s="62" t="s">
        <v>218</v>
      </c>
      <c r="BI7" s="62" t="s">
        <v>223</v>
      </c>
      <c r="BJ7" s="62" t="s">
        <v>219</v>
      </c>
    </row>
    <row r="8" spans="1:62" ht="16.5">
      <c r="A8" s="34">
        <f>A7+1</f>
        <v>134</v>
      </c>
      <c r="B8" s="34" t="s">
        <v>189</v>
      </c>
      <c r="C8" s="34">
        <v>1</v>
      </c>
      <c r="D8" s="35">
        <v>0.3611111111111111</v>
      </c>
      <c r="E8" s="43" t="s">
        <v>177</v>
      </c>
      <c r="F8" s="34" t="str">
        <f>BG8</f>
        <v>1. Platz</v>
      </c>
      <c r="G8" s="34" t="s">
        <v>43</v>
      </c>
      <c r="H8" s="34" t="str">
        <f>BG15</f>
        <v>8. Platz</v>
      </c>
      <c r="I8" s="36"/>
      <c r="J8" s="34" t="s">
        <v>43</v>
      </c>
      <c r="K8" s="36"/>
      <c r="L8" s="194" t="str">
        <f>IF(VLOOKUP(A8,Schiedsrichter!$A$3:$I$176,8,FALSE)=0,"-",VLOOKUP(A8,Schiedsrichter!$A$3:$I$176,8,FALSE))</f>
        <v>11. Platz</v>
      </c>
      <c r="M8" s="191" t="s">
        <v>249</v>
      </c>
      <c r="N8" s="197" t="str">
        <f>IF(VLOOKUP(A8,Schiedsrichter!$A$3:$I$176,9,FALSE)=0,"-",VLOOKUP(A8,Schiedsrichter!$A$3:$I$176,9,FALSE))</f>
        <v>6. Platz</v>
      </c>
      <c r="AE8" s="62" t="str">
        <f>BG17</f>
        <v>10. Platz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Y8" s="62" t="str">
        <f>IF(OR(I8&gt;0,K8&gt;0),IF(I8&gt;K8,F8,H8),"leer")</f>
        <v>leer</v>
      </c>
      <c r="BE8" s="62" t="s">
        <v>205</v>
      </c>
      <c r="BF8" s="62" t="str">
        <f>Tabelle!C8</f>
        <v>KRM Essen</v>
      </c>
      <c r="BG8" s="62" t="str">
        <f aca="true" t="shared" si="1" ref="BG8:BG19">IF($BF$7="ja",BF8,BE8)</f>
        <v>1. Platz</v>
      </c>
      <c r="BI8" s="62" t="s">
        <v>225</v>
      </c>
      <c r="BJ8" s="62" t="s">
        <v>221</v>
      </c>
    </row>
    <row r="9" spans="1:62" ht="16.5">
      <c r="A9" s="34">
        <f aca="true" t="shared" si="2" ref="A9:A24">A8+1</f>
        <v>135</v>
      </c>
      <c r="B9" s="34" t="s">
        <v>189</v>
      </c>
      <c r="C9" s="34">
        <v>1</v>
      </c>
      <c r="D9" s="35">
        <v>0.3888888888888889</v>
      </c>
      <c r="E9" s="43" t="s">
        <v>178</v>
      </c>
      <c r="F9" s="34" t="str">
        <f>BG9</f>
        <v>2. Platz</v>
      </c>
      <c r="G9" s="34" t="s">
        <v>43</v>
      </c>
      <c r="H9" s="34" t="str">
        <f>BG14</f>
        <v>7. Platz</v>
      </c>
      <c r="I9" s="36"/>
      <c r="J9" s="34" t="s">
        <v>43</v>
      </c>
      <c r="K9" s="36"/>
      <c r="L9" s="194" t="str">
        <f>IF(VLOOKUP(A9,Schiedsrichter!$A$3:$I$176,8,FALSE)=0,"-",VLOOKUP(A9,Schiedsrichter!$A$3:$I$176,8,FALSE))</f>
        <v>9. Platz</v>
      </c>
      <c r="M9" s="191" t="s">
        <v>249</v>
      </c>
      <c r="N9" s="197" t="str">
        <f>IF(VLOOKUP(A9,Schiedsrichter!$A$3:$I$176,9,FALSE)=0,"-",VLOOKUP(A9,Schiedsrichter!$A$3:$I$176,9,FALSE))</f>
        <v>5. Platz</v>
      </c>
      <c r="AE9" s="62" t="str">
        <f>BG18</f>
        <v>11. Platz</v>
      </c>
      <c r="AF9" s="62">
        <f t="shared" si="0"/>
        <v>0</v>
      </c>
      <c r="AG9" s="62">
        <f t="shared" si="0"/>
        <v>0</v>
      </c>
      <c r="AH9" s="62">
        <f t="shared" si="0"/>
        <v>0</v>
      </c>
      <c r="AI9" s="62">
        <f t="shared" si="0"/>
        <v>0</v>
      </c>
      <c r="AJ9" s="62">
        <f t="shared" si="0"/>
        <v>0</v>
      </c>
      <c r="AY9" s="62" t="str">
        <f>IF(OR(I9&gt;0,K9&gt;0),IF(I9&gt;K9,F9,H9),"leer")</f>
        <v>leer</v>
      </c>
      <c r="BE9" s="62" t="s">
        <v>206</v>
      </c>
      <c r="BF9" s="62" t="str">
        <f>Tabelle!C9</f>
        <v>WSF Liblar</v>
      </c>
      <c r="BG9" s="62" t="str">
        <f t="shared" si="1"/>
        <v>2. Platz</v>
      </c>
      <c r="BI9" s="62" t="s">
        <v>226</v>
      </c>
      <c r="BJ9" s="62" t="s">
        <v>222</v>
      </c>
    </row>
    <row r="10" spans="1:62" ht="16.5">
      <c r="A10" s="144">
        <f t="shared" si="2"/>
        <v>136</v>
      </c>
      <c r="B10" s="144" t="s">
        <v>27</v>
      </c>
      <c r="C10" s="144">
        <v>1</v>
      </c>
      <c r="D10" s="145">
        <v>0.4166666666666667</v>
      </c>
      <c r="E10" s="146" t="s">
        <v>176</v>
      </c>
      <c r="F10" s="144" t="str">
        <f>BG18</f>
        <v>11. Platz</v>
      </c>
      <c r="G10" s="144" t="s">
        <v>43</v>
      </c>
      <c r="H10" s="144" t="str">
        <f>BG17</f>
        <v>10. Platz</v>
      </c>
      <c r="I10" s="147"/>
      <c r="J10" s="144" t="s">
        <v>43</v>
      </c>
      <c r="K10" s="147"/>
      <c r="L10" s="203" t="str">
        <f>IF(VLOOKUP(A10,Schiedsrichter!$A$3:$I$176,8,FALSE)=0,"-",VLOOKUP(A10,Schiedsrichter!$A$3:$I$176,8,FALSE))</f>
        <v>1. Platz</v>
      </c>
      <c r="M10" s="201" t="s">
        <v>249</v>
      </c>
      <c r="N10" s="206" t="str">
        <f>IF(VLOOKUP(A10,Schiedsrichter!$A$3:$I$176,9,FALSE)=0,"-",VLOOKUP(A10,Schiedsrichter!$A$3:$I$176,9,FALSE))</f>
        <v>4. Platz</v>
      </c>
      <c r="P10" s="62" t="str">
        <f>IF(OR(I10="",K10=""),"na",1)</f>
        <v>na</v>
      </c>
      <c r="Q10" s="62" t="str">
        <f>F10</f>
        <v>11. Platz</v>
      </c>
      <c r="R10" s="62">
        <f>IF($P10=1,IF($I10&gt;$K10,1,0),"")</f>
      </c>
      <c r="S10" s="62">
        <f>IF($P10=1,IF($I10=$K10,1,0),"")</f>
      </c>
      <c r="T10" s="62">
        <f>IF($P10=1,IF($I10&lt;$K10,1,0),"")</f>
      </c>
      <c r="U10" s="62">
        <f>IF($P10=1,$I10,"")</f>
      </c>
      <c r="V10" s="62">
        <f>IF($P10=1,$K10,"")</f>
      </c>
      <c r="W10" s="62" t="str">
        <f>H10</f>
        <v>10. Platz</v>
      </c>
      <c r="X10" s="62">
        <f>IF($P10=1,IF($I10&lt;$K10,1,0),"")</f>
      </c>
      <c r="Y10" s="62">
        <f>IF($P10=1,IF($I10=$K10,1,0),"")</f>
      </c>
      <c r="Z10" s="62">
        <f>IF($P10=1,IF($I10&gt;$K10,1,0),"")</f>
      </c>
      <c r="AA10" s="62">
        <f>IF($P10=1,$K10,"")</f>
      </c>
      <c r="AB10" s="62">
        <f aca="true" t="shared" si="3" ref="AB10:AB46">IF($P10=1,$I10,"")</f>
      </c>
      <c r="AE10" s="62" t="str">
        <f>BG19</f>
        <v>12. Platz</v>
      </c>
      <c r="AF10" s="62">
        <f t="shared" si="0"/>
        <v>0</v>
      </c>
      <c r="AG10" s="62">
        <f t="shared" si="0"/>
        <v>0</v>
      </c>
      <c r="AH10" s="62">
        <f t="shared" si="0"/>
        <v>0</v>
      </c>
      <c r="AI10" s="62">
        <f t="shared" si="0"/>
        <v>0</v>
      </c>
      <c r="AJ10" s="62">
        <f t="shared" si="0"/>
        <v>0</v>
      </c>
      <c r="BE10" s="62" t="s">
        <v>207</v>
      </c>
      <c r="BF10" s="62" t="str">
        <f>Tabelle!C10</f>
        <v>RSV Hannover</v>
      </c>
      <c r="BG10" s="62" t="str">
        <f t="shared" si="1"/>
        <v>3. Platz</v>
      </c>
      <c r="BI10" s="62" t="s">
        <v>224</v>
      </c>
      <c r="BJ10" s="62" t="s">
        <v>220</v>
      </c>
    </row>
    <row r="11" spans="1:62" ht="16.5">
      <c r="A11" s="34">
        <f t="shared" si="2"/>
        <v>137</v>
      </c>
      <c r="B11" s="34" t="s">
        <v>189</v>
      </c>
      <c r="C11" s="34">
        <v>1</v>
      </c>
      <c r="D11" s="35">
        <v>0.4444444444444445</v>
      </c>
      <c r="E11" s="43" t="s">
        <v>179</v>
      </c>
      <c r="F11" s="34" t="str">
        <f>BG10</f>
        <v>3. Platz</v>
      </c>
      <c r="G11" s="34" t="s">
        <v>43</v>
      </c>
      <c r="H11" s="34" t="str">
        <f>BG13</f>
        <v>6. Platz</v>
      </c>
      <c r="I11" s="36"/>
      <c r="J11" s="34" t="s">
        <v>43</v>
      </c>
      <c r="K11" s="36"/>
      <c r="L11" s="194" t="str">
        <f>IF(VLOOKUP(A11,Schiedsrichter!$A$3:$I$176,8,FALSE)=0,"-",VLOOKUP(A11,Schiedsrichter!$A$3:$I$176,8,FALSE))</f>
        <v>12. Platz</v>
      </c>
      <c r="M11" s="191" t="s">
        <v>249</v>
      </c>
      <c r="N11" s="197" t="str">
        <f>IF(VLOOKUP(A11,Schiedsrichter!$A$3:$I$176,9,FALSE)=0,"-",VLOOKUP(A11,Schiedsrichter!$A$3:$I$176,9,FALSE))</f>
        <v>2. Platz</v>
      </c>
      <c r="AY11" s="62" t="str">
        <f>IF(OR(I11&gt;0,K11&gt;0),IF(I11&gt;K11,F11,H11),"leer")</f>
        <v>leer</v>
      </c>
      <c r="BE11" s="62" t="s">
        <v>208</v>
      </c>
      <c r="BF11" s="62" t="str">
        <f>Tabelle!C11</f>
        <v>ACC Hamburg</v>
      </c>
      <c r="BG11" s="62" t="str">
        <f t="shared" si="1"/>
        <v>4. Platz</v>
      </c>
      <c r="BI11" s="62" t="s">
        <v>234</v>
      </c>
      <c r="BJ11" s="62" t="s">
        <v>232</v>
      </c>
    </row>
    <row r="12" spans="1:62" ht="16.5">
      <c r="A12" s="34">
        <f t="shared" si="2"/>
        <v>138</v>
      </c>
      <c r="B12" s="34" t="s">
        <v>189</v>
      </c>
      <c r="C12" s="34">
        <v>1</v>
      </c>
      <c r="D12" s="35">
        <v>0.47222222222222227</v>
      </c>
      <c r="E12" s="43" t="s">
        <v>180</v>
      </c>
      <c r="F12" s="34" t="str">
        <f>BG11</f>
        <v>4. Platz</v>
      </c>
      <c r="G12" s="34" t="s">
        <v>43</v>
      </c>
      <c r="H12" s="34" t="str">
        <f>BG12</f>
        <v>5. Platz</v>
      </c>
      <c r="I12" s="36"/>
      <c r="J12" s="34" t="s">
        <v>43</v>
      </c>
      <c r="K12" s="36"/>
      <c r="L12" s="194" t="str">
        <f>IF(VLOOKUP(A12,Schiedsrichter!$A$3:$I$176,8,FALSE)=0,"-",VLOOKUP(A12,Schiedsrichter!$A$3:$I$176,8,FALSE))</f>
        <v>10. Platz</v>
      </c>
      <c r="M12" s="191" t="s">
        <v>249</v>
      </c>
      <c r="N12" s="197" t="str">
        <f>IF(VLOOKUP(A12,Schiedsrichter!$A$3:$I$176,9,FALSE)=0,"-",VLOOKUP(A12,Schiedsrichter!$A$3:$I$176,9,FALSE))</f>
        <v>8. Platz</v>
      </c>
      <c r="AE12" s="63" t="s">
        <v>45</v>
      </c>
      <c r="AF12" s="62" t="s">
        <v>54</v>
      </c>
      <c r="AG12" s="62" t="s">
        <v>47</v>
      </c>
      <c r="AH12" s="62" t="s">
        <v>53</v>
      </c>
      <c r="AI12" s="62" t="s">
        <v>50</v>
      </c>
      <c r="AJ12" s="62" t="s">
        <v>23</v>
      </c>
      <c r="AY12" s="62" t="str">
        <f>IF(OR(I12&gt;0,K12&gt;0),IF(I12&gt;K12,F12,H12),"leer")</f>
        <v>leer</v>
      </c>
      <c r="BE12" s="62" t="s">
        <v>209</v>
      </c>
      <c r="BF12" s="62" t="str">
        <f>Tabelle!C12</f>
        <v>KSVH Berlin</v>
      </c>
      <c r="BG12" s="62" t="str">
        <f t="shared" si="1"/>
        <v>5. Platz</v>
      </c>
      <c r="BI12" s="62" t="s">
        <v>235</v>
      </c>
      <c r="BJ12" s="62" t="s">
        <v>233</v>
      </c>
    </row>
    <row r="13" spans="1:62" ht="16.5">
      <c r="A13" s="144">
        <f t="shared" si="2"/>
        <v>139</v>
      </c>
      <c r="B13" s="144" t="s">
        <v>27</v>
      </c>
      <c r="C13" s="144">
        <v>1</v>
      </c>
      <c r="D13" s="145">
        <v>0.5</v>
      </c>
      <c r="E13" s="146" t="s">
        <v>176</v>
      </c>
      <c r="F13" s="144" t="str">
        <f>BG19</f>
        <v>12. Platz</v>
      </c>
      <c r="G13" s="144" t="s">
        <v>43</v>
      </c>
      <c r="H13" s="144" t="str">
        <f>BG18</f>
        <v>11. Platz</v>
      </c>
      <c r="I13" s="147"/>
      <c r="J13" s="144" t="s">
        <v>43</v>
      </c>
      <c r="K13" s="147"/>
      <c r="L13" s="203" t="str">
        <f>IF(VLOOKUP(A13,Schiedsrichter!$A$3:$I$176,8,FALSE)=0,"-",VLOOKUP(A13,Schiedsrichter!$A$3:$I$176,8,FALSE))</f>
        <v>7. Platz</v>
      </c>
      <c r="M13" s="201" t="s">
        <v>249</v>
      </c>
      <c r="N13" s="206" t="str">
        <f>IF(VLOOKUP(A13,Schiedsrichter!$A$3:$I$176,9,FALSE)=0,"-",VLOOKUP(A13,Schiedsrichter!$A$3:$I$176,9,FALSE))</f>
        <v>3. Platz</v>
      </c>
      <c r="P13" s="62" t="str">
        <f>IF(OR(I13="",K13=""),"na",1)</f>
        <v>na</v>
      </c>
      <c r="Q13" s="62" t="str">
        <f>F13</f>
        <v>12. Platz</v>
      </c>
      <c r="R13" s="62">
        <f>IF($P13=1,IF($I13&gt;$K13,1,0),"")</f>
      </c>
      <c r="S13" s="62">
        <f>IF($P13=1,IF($I13=$K13,1,0),"")</f>
      </c>
      <c r="T13" s="62">
        <f>IF($P13=1,IF($I13&lt;$K13,1,0),"")</f>
      </c>
      <c r="U13" s="62">
        <f>IF($P13=1,$I13,"")</f>
      </c>
      <c r="V13" s="62">
        <f>IF($P13=1,$K13,"")</f>
      </c>
      <c r="W13" s="62" t="str">
        <f>H13</f>
        <v>11. Platz</v>
      </c>
      <c r="X13" s="62">
        <f>IF($P13=1,IF($I13&lt;$K13,1,0),"")</f>
      </c>
      <c r="Y13" s="62">
        <f>IF($P13=1,IF($I13=$K13,1,0),"")</f>
      </c>
      <c r="Z13" s="62">
        <f>IF($P13=1,IF($I13&gt;$K13,1,0),"")</f>
      </c>
      <c r="AA13" s="62">
        <f>IF($P13=1,$K13,"")</f>
      </c>
      <c r="AB13" s="62">
        <f t="shared" si="3"/>
      </c>
      <c r="AE13" s="62" t="str">
        <f>AE7</f>
        <v>9. Platz</v>
      </c>
      <c r="AF13" s="62">
        <f aca="true" t="shared" si="4" ref="AF13:AJ16">SUMIF($W$7:$W$22,$AE13,X$7:X$22)</f>
        <v>0</v>
      </c>
      <c r="AG13" s="62">
        <f t="shared" si="4"/>
        <v>0</v>
      </c>
      <c r="AH13" s="62">
        <f t="shared" si="4"/>
        <v>0</v>
      </c>
      <c r="AI13" s="62">
        <f t="shared" si="4"/>
        <v>0</v>
      </c>
      <c r="AJ13" s="62">
        <f t="shared" si="4"/>
        <v>0</v>
      </c>
      <c r="BE13" s="62" t="s">
        <v>210</v>
      </c>
      <c r="BF13" s="62" t="str">
        <f>Tabelle!C13</f>
        <v>1. MKC Duisburg</v>
      </c>
      <c r="BG13" s="62" t="str">
        <f t="shared" si="1"/>
        <v>6. Platz</v>
      </c>
      <c r="BI13" s="62" t="s">
        <v>231</v>
      </c>
      <c r="BJ13" s="62" t="s">
        <v>229</v>
      </c>
    </row>
    <row r="14" spans="1:62" ht="16.5">
      <c r="A14" s="34">
        <f t="shared" si="2"/>
        <v>140</v>
      </c>
      <c r="B14" s="34" t="s">
        <v>189</v>
      </c>
      <c r="C14" s="34">
        <v>1</v>
      </c>
      <c r="D14" s="35">
        <v>0.5277777777777778</v>
      </c>
      <c r="E14" s="43" t="s">
        <v>181</v>
      </c>
      <c r="F14" s="34" t="str">
        <f>BG8</f>
        <v>1. Platz</v>
      </c>
      <c r="G14" s="34" t="s">
        <v>43</v>
      </c>
      <c r="H14" s="34" t="str">
        <f>BG15</f>
        <v>8. Platz</v>
      </c>
      <c r="I14" s="36"/>
      <c r="J14" s="34" t="s">
        <v>43</v>
      </c>
      <c r="K14" s="36"/>
      <c r="L14" s="194" t="str">
        <f>IF(VLOOKUP(A14,Schiedsrichter!$A$3:$I$176,8,FALSE)=0,"-",VLOOKUP(A14,Schiedsrichter!$A$3:$I$176,8,FALSE))</f>
        <v>10. Platz</v>
      </c>
      <c r="M14" s="191" t="s">
        <v>249</v>
      </c>
      <c r="N14" s="197" t="str">
        <f>IF(VLOOKUP(A14,Schiedsrichter!$A$3:$I$176,9,FALSE)=0,"-",VLOOKUP(A14,Schiedsrichter!$A$3:$I$176,9,FALSE))</f>
        <v>5. Platz</v>
      </c>
      <c r="AB14" s="62">
        <f t="shared" si="3"/>
      </c>
      <c r="AE14" s="62" t="str">
        <f>AE8</f>
        <v>10. Platz</v>
      </c>
      <c r="AF14" s="62">
        <f t="shared" si="4"/>
        <v>0</v>
      </c>
      <c r="AG14" s="62">
        <f t="shared" si="4"/>
        <v>0</v>
      </c>
      <c r="AH14" s="62">
        <f t="shared" si="4"/>
        <v>0</v>
      </c>
      <c r="AI14" s="62">
        <f t="shared" si="4"/>
        <v>0</v>
      </c>
      <c r="AJ14" s="62">
        <f t="shared" si="4"/>
        <v>0</v>
      </c>
      <c r="AY14" s="62" t="str">
        <f>IF(OR(I14&gt;0,K14&gt;0),IF(I14&gt;K14,F14,H14),"leer")</f>
        <v>leer</v>
      </c>
      <c r="AZ14" s="62">
        <f>COUNTIF($AY$8:$AY$18,F8)</f>
        <v>0</v>
      </c>
      <c r="BA14" s="62">
        <f>COUNTIF($AY$8:$AY$18,H8)</f>
        <v>0</v>
      </c>
      <c r="BE14" s="62" t="s">
        <v>211</v>
      </c>
      <c r="BF14" s="62" t="str">
        <f>Tabelle!C14</f>
        <v>KCNW Berlin</v>
      </c>
      <c r="BG14" s="62" t="str">
        <f t="shared" si="1"/>
        <v>7. Platz</v>
      </c>
      <c r="BI14" s="62" t="s">
        <v>230</v>
      </c>
      <c r="BJ14" s="62" t="s">
        <v>228</v>
      </c>
    </row>
    <row r="15" spans="1:59" ht="16.5">
      <c r="A15" s="34">
        <f t="shared" si="2"/>
        <v>141</v>
      </c>
      <c r="B15" s="34" t="s">
        <v>189</v>
      </c>
      <c r="C15" s="34">
        <v>1</v>
      </c>
      <c r="D15" s="35">
        <v>0.5555555555555556</v>
      </c>
      <c r="E15" s="43" t="s">
        <v>182</v>
      </c>
      <c r="F15" s="34" t="str">
        <f>BG9</f>
        <v>2. Platz</v>
      </c>
      <c r="G15" s="34" t="s">
        <v>43</v>
      </c>
      <c r="H15" s="34" t="str">
        <f>BG14</f>
        <v>7. Platz</v>
      </c>
      <c r="I15" s="36"/>
      <c r="J15" s="34" t="s">
        <v>43</v>
      </c>
      <c r="K15" s="36"/>
      <c r="L15" s="194" t="str">
        <f>IF(VLOOKUP(A15,Schiedsrichter!$A$3:$I$176,8,FALSE)=0,"-",VLOOKUP(A15,Schiedsrichter!$A$3:$I$176,8,FALSE))</f>
        <v>12. Platz</v>
      </c>
      <c r="M15" s="191" t="s">
        <v>249</v>
      </c>
      <c r="N15" s="197" t="str">
        <f>IF(VLOOKUP(A15,Schiedsrichter!$A$3:$I$176,9,FALSE)=0,"-",VLOOKUP(A15,Schiedsrichter!$A$3:$I$176,9,FALSE))</f>
        <v>6. Platz</v>
      </c>
      <c r="AB15" s="62">
        <f t="shared" si="3"/>
      </c>
      <c r="AE15" s="62" t="str">
        <f>AE9</f>
        <v>11. Platz</v>
      </c>
      <c r="AF15" s="62">
        <f t="shared" si="4"/>
        <v>0</v>
      </c>
      <c r="AG15" s="62">
        <f t="shared" si="4"/>
        <v>0</v>
      </c>
      <c r="AH15" s="62">
        <f t="shared" si="4"/>
        <v>0</v>
      </c>
      <c r="AI15" s="62">
        <f t="shared" si="4"/>
        <v>0</v>
      </c>
      <c r="AJ15" s="62">
        <f t="shared" si="4"/>
        <v>0</v>
      </c>
      <c r="AY15" s="62" t="str">
        <f>IF(OR(I15&gt;0,K15&gt;0),IF(I15&gt;K15,F15,H15),"leer")</f>
        <v>leer</v>
      </c>
      <c r="AZ15" s="62">
        <f>COUNTIF($AY$8:$AY$18,F9)</f>
        <v>0</v>
      </c>
      <c r="BA15" s="62">
        <f>COUNTIF($AY$8:$AY$18,H9)</f>
        <v>0</v>
      </c>
      <c r="BE15" s="62" t="s">
        <v>212</v>
      </c>
      <c r="BF15" s="62" t="str">
        <f>Tabelle!C15</f>
        <v>KGW Essen</v>
      </c>
      <c r="BG15" s="62" t="str">
        <f t="shared" si="1"/>
        <v>8. Platz</v>
      </c>
    </row>
    <row r="16" spans="1:59" ht="16.5">
      <c r="A16" s="144">
        <f t="shared" si="2"/>
        <v>142</v>
      </c>
      <c r="B16" s="144" t="s">
        <v>27</v>
      </c>
      <c r="C16" s="144">
        <v>1</v>
      </c>
      <c r="D16" s="145">
        <v>0.5833333333333334</v>
      </c>
      <c r="E16" s="146" t="s">
        <v>176</v>
      </c>
      <c r="F16" s="144" t="str">
        <f>BG17</f>
        <v>10. Platz</v>
      </c>
      <c r="G16" s="144" t="s">
        <v>43</v>
      </c>
      <c r="H16" s="144" t="str">
        <f>BG16</f>
        <v>9. Platz</v>
      </c>
      <c r="I16" s="147"/>
      <c r="J16" s="144" t="s">
        <v>43</v>
      </c>
      <c r="K16" s="147"/>
      <c r="L16" s="203" t="str">
        <f>IF(VLOOKUP(A16,Schiedsrichter!$A$3:$I$176,8,FALSE)=0,"-",VLOOKUP(A16,Schiedsrichter!$A$3:$I$176,8,FALSE))</f>
        <v>4. Platz</v>
      </c>
      <c r="M16" s="201" t="s">
        <v>249</v>
      </c>
      <c r="N16" s="206" t="str">
        <f>IF(VLOOKUP(A16,Schiedsrichter!$A$3:$I$176,9,FALSE)=0,"-",VLOOKUP(A16,Schiedsrichter!$A$3:$I$176,9,FALSE))</f>
        <v>1. Platz</v>
      </c>
      <c r="P16" s="62" t="str">
        <f>IF(OR(I16="",K16=""),"na",1)</f>
        <v>na</v>
      </c>
      <c r="Q16" s="62" t="str">
        <f>F16</f>
        <v>10. Platz</v>
      </c>
      <c r="R16" s="62">
        <f>IF($P16=1,IF($I16&gt;$K16,1,0),"")</f>
      </c>
      <c r="S16" s="62">
        <f>IF($P16=1,IF($I16=$K16,1,0),"")</f>
      </c>
      <c r="T16" s="62">
        <f>IF($P16=1,IF($I16&lt;$K16,1,0),"")</f>
      </c>
      <c r="U16" s="62">
        <f>IF($P16=1,$I16,"")</f>
      </c>
      <c r="V16" s="62">
        <f>IF($P16=1,$K16,"")</f>
      </c>
      <c r="W16" s="62" t="str">
        <f>H16</f>
        <v>9. Platz</v>
      </c>
      <c r="X16" s="62">
        <f>IF($P16=1,IF($I16&lt;$K16,1,0),"")</f>
      </c>
      <c r="Y16" s="62">
        <f>IF($P16=1,IF($I16=$K16,1,0),"")</f>
      </c>
      <c r="Z16" s="62">
        <f>IF($P16=1,IF($I16&gt;$K16,1,0),"")</f>
      </c>
      <c r="AA16" s="62">
        <f>IF($P16=1,$K16,"")</f>
      </c>
      <c r="AB16" s="62">
        <f t="shared" si="3"/>
      </c>
      <c r="AE16" s="62" t="str">
        <f>AE10</f>
        <v>12. Platz</v>
      </c>
      <c r="AF16" s="62">
        <f t="shared" si="4"/>
        <v>0</v>
      </c>
      <c r="AG16" s="62">
        <f t="shared" si="4"/>
        <v>0</v>
      </c>
      <c r="AH16" s="62">
        <f t="shared" si="4"/>
        <v>0</v>
      </c>
      <c r="AI16" s="62">
        <f t="shared" si="4"/>
        <v>0</v>
      </c>
      <c r="AJ16" s="62">
        <f t="shared" si="4"/>
        <v>0</v>
      </c>
      <c r="BE16" s="62" t="s">
        <v>213</v>
      </c>
      <c r="BF16" s="62" t="str">
        <f>Tabelle!C16</f>
        <v>VK Berlin</v>
      </c>
      <c r="BG16" s="62" t="str">
        <f t="shared" si="1"/>
        <v>9. Platz</v>
      </c>
    </row>
    <row r="17" spans="1:59" ht="16.5">
      <c r="A17" s="34">
        <f t="shared" si="2"/>
        <v>143</v>
      </c>
      <c r="B17" s="34" t="s">
        <v>189</v>
      </c>
      <c r="C17" s="34">
        <v>1</v>
      </c>
      <c r="D17" s="35">
        <v>0.6111111111111112</v>
      </c>
      <c r="E17" s="43" t="s">
        <v>183</v>
      </c>
      <c r="F17" s="34" t="str">
        <f>BG10</f>
        <v>3. Platz</v>
      </c>
      <c r="G17" s="34" t="s">
        <v>43</v>
      </c>
      <c r="H17" s="34" t="str">
        <f>BG13</f>
        <v>6. Platz</v>
      </c>
      <c r="I17" s="36"/>
      <c r="J17" s="34" t="s">
        <v>43</v>
      </c>
      <c r="K17" s="36"/>
      <c r="L17" s="194" t="str">
        <f>IF(VLOOKUP(A17,Schiedsrichter!$A$3:$I$176,8,FALSE)=0,"-",VLOOKUP(A17,Schiedsrichter!$A$3:$I$176,8,FALSE))</f>
        <v>11. Platz</v>
      </c>
      <c r="M17" s="191" t="s">
        <v>249</v>
      </c>
      <c r="N17" s="197" t="str">
        <f>IF(VLOOKUP(A17,Schiedsrichter!$A$3:$I$176,9,FALSE)=0,"-",VLOOKUP(A17,Schiedsrichter!$A$3:$I$176,9,FALSE))</f>
        <v>8. Platz</v>
      </c>
      <c r="AY17" s="62" t="str">
        <f>IF(OR(I17&gt;0,K17&gt;0),IF(I17&gt;K17,F17,H17),"leer")</f>
        <v>leer</v>
      </c>
      <c r="AZ17" s="62">
        <f>COUNTIF($AY$8:$AY$18,F11)</f>
        <v>0</v>
      </c>
      <c r="BA17" s="62">
        <f>COUNTIF($AY$8:$AY$18,H11)</f>
        <v>0</v>
      </c>
      <c r="BE17" s="62" t="s">
        <v>214</v>
      </c>
      <c r="BF17" s="62" t="str">
        <f>Tabelle!C17</f>
        <v>KC Wetter</v>
      </c>
      <c r="BG17" s="62" t="str">
        <f t="shared" si="1"/>
        <v>10. Platz</v>
      </c>
    </row>
    <row r="18" spans="1:59" ht="16.5">
      <c r="A18" s="34">
        <f t="shared" si="2"/>
        <v>144</v>
      </c>
      <c r="B18" s="34" t="s">
        <v>189</v>
      </c>
      <c r="C18" s="34">
        <v>1</v>
      </c>
      <c r="D18" s="35">
        <v>0.638888888888889</v>
      </c>
      <c r="E18" s="43" t="s">
        <v>184</v>
      </c>
      <c r="F18" s="34" t="str">
        <f>BG11</f>
        <v>4. Platz</v>
      </c>
      <c r="G18" s="34" t="s">
        <v>43</v>
      </c>
      <c r="H18" s="34" t="str">
        <f>BG12</f>
        <v>5. Platz</v>
      </c>
      <c r="I18" s="36"/>
      <c r="J18" s="34" t="s">
        <v>43</v>
      </c>
      <c r="K18" s="36"/>
      <c r="L18" s="194" t="str">
        <f>IF(VLOOKUP(A18,Schiedsrichter!$A$3:$I$176,8,FALSE)=0,"-",VLOOKUP(A18,Schiedsrichter!$A$3:$I$176,8,FALSE))</f>
        <v>9. Platz</v>
      </c>
      <c r="M18" s="191" t="s">
        <v>249</v>
      </c>
      <c r="N18" s="197" t="str">
        <f>IF(VLOOKUP(A18,Schiedsrichter!$A$3:$I$176,9,FALSE)=0,"-",VLOOKUP(A18,Schiedsrichter!$A$3:$I$176,9,FALSE))</f>
        <v>2. Platz</v>
      </c>
      <c r="AD18" s="62" t="s">
        <v>70</v>
      </c>
      <c r="AE18" s="25" t="str">
        <f aca="true" t="shared" si="5" ref="AE18:AJ18">AE12</f>
        <v>Mannschaft</v>
      </c>
      <c r="AF18" s="25" t="str">
        <f t="shared" si="5"/>
        <v>S</v>
      </c>
      <c r="AG18" s="25" t="str">
        <f t="shared" si="5"/>
        <v>U</v>
      </c>
      <c r="AH18" s="25" t="str">
        <f t="shared" si="5"/>
        <v>N</v>
      </c>
      <c r="AI18" s="25" t="str">
        <f t="shared" si="5"/>
        <v>+</v>
      </c>
      <c r="AJ18" s="25" t="str">
        <f t="shared" si="5"/>
        <v>-</v>
      </c>
      <c r="AY18" s="62" t="str">
        <f>IF(OR(I18&gt;0,K18&gt;0),IF(I18&gt;K18,F18,H18),"leer")</f>
        <v>leer</v>
      </c>
      <c r="AZ18" s="62">
        <f>COUNTIF($AY$8:$AY$18,F12)</f>
        <v>0</v>
      </c>
      <c r="BA18" s="62">
        <f>COUNTIF($AY$8:$AY$18,H12)</f>
        <v>0</v>
      </c>
      <c r="BE18" s="62" t="s">
        <v>215</v>
      </c>
      <c r="BF18" s="62" t="str">
        <f>Tabelle!C18</f>
        <v>Göttinger PC</v>
      </c>
      <c r="BG18" s="62" t="str">
        <f t="shared" si="1"/>
        <v>11. Platz</v>
      </c>
    </row>
    <row r="19" spans="1:59" ht="16.5">
      <c r="A19" s="144">
        <f t="shared" si="2"/>
        <v>145</v>
      </c>
      <c r="B19" s="144" t="s">
        <v>27</v>
      </c>
      <c r="C19" s="144">
        <v>1</v>
      </c>
      <c r="D19" s="145">
        <v>0.6666666666666667</v>
      </c>
      <c r="E19" s="146" t="s">
        <v>176</v>
      </c>
      <c r="F19" s="144" t="str">
        <f>BG19</f>
        <v>12. Platz</v>
      </c>
      <c r="G19" s="144" t="s">
        <v>43</v>
      </c>
      <c r="H19" s="144" t="str">
        <f>BG17</f>
        <v>10. Platz</v>
      </c>
      <c r="I19" s="147"/>
      <c r="J19" s="144" t="s">
        <v>43</v>
      </c>
      <c r="K19" s="147"/>
      <c r="L19" s="203" t="str">
        <f>IF(VLOOKUP(A19,Schiedsrichter!$A$3:$I$176,8,FALSE)=0,"-",VLOOKUP(A19,Schiedsrichter!$A$3:$I$176,8,FALSE))</f>
        <v>6. Platz</v>
      </c>
      <c r="M19" s="201" t="s">
        <v>249</v>
      </c>
      <c r="N19" s="206" t="str">
        <f>IF(VLOOKUP(A19,Schiedsrichter!$A$3:$I$176,9,FALSE)=0,"-",VLOOKUP(A19,Schiedsrichter!$A$3:$I$176,9,FALSE))</f>
        <v>4. Platz</v>
      </c>
      <c r="P19" s="62" t="str">
        <f>IF(OR(I19="",K19=""),"na",1)</f>
        <v>na</v>
      </c>
      <c r="Q19" s="62" t="str">
        <f>F19</f>
        <v>12. Platz</v>
      </c>
      <c r="R19" s="62">
        <f>IF($P19=1,IF($I19&gt;$K19,1,0),"")</f>
      </c>
      <c r="S19" s="62">
        <f>IF($P19=1,IF($I19=$K19,1,0),"")</f>
      </c>
      <c r="T19" s="62">
        <f>IF($P19=1,IF($I19&lt;$K19,1,0),"")</f>
      </c>
      <c r="U19" s="62">
        <f>IF($P19=1,$I19,"")</f>
      </c>
      <c r="V19" s="62">
        <f>IF($P19=1,$K19,"")</f>
      </c>
      <c r="W19" s="62" t="str">
        <f>H19</f>
        <v>10. Platz</v>
      </c>
      <c r="X19" s="62">
        <f>IF($P19=1,IF($I19&lt;$K19,1,0),"")</f>
      </c>
      <c r="Y19" s="62">
        <f>IF($P19=1,IF($I19=$K19,1,0),"")</f>
      </c>
      <c r="Z19" s="62">
        <f>IF($P19=1,IF($I19&gt;$K19,1,0),"")</f>
      </c>
      <c r="AA19" s="62">
        <f>IF($P19=1,$K19,"")</f>
      </c>
      <c r="AB19" s="62">
        <f t="shared" si="3"/>
      </c>
      <c r="AD19" s="62">
        <f>RANK(AV19,$AV$19:$AV$22,1)</f>
        <v>4</v>
      </c>
      <c r="AE19" s="62" t="str">
        <f>AE13</f>
        <v>9. Platz</v>
      </c>
      <c r="AF19" s="62">
        <f>AF7+AF13</f>
        <v>0</v>
      </c>
      <c r="AG19" s="62">
        <f>AG7+AG13</f>
        <v>0</v>
      </c>
      <c r="AH19" s="62">
        <f>AH7+AH13</f>
        <v>0</v>
      </c>
      <c r="AI19" s="62">
        <f>AI7+AI13</f>
        <v>0</v>
      </c>
      <c r="AJ19" s="62">
        <f>AJ7+AJ13</f>
        <v>0</v>
      </c>
      <c r="AK19" s="62">
        <f>AF19*3+AG19*1</f>
        <v>0</v>
      </c>
      <c r="AL19" s="62">
        <f>AK19*99999999+(AI19-AJ19)*888888+AI19*7777</f>
        <v>0</v>
      </c>
      <c r="AM19" s="62">
        <f>RANK(AL19,AL$19:AL$22,0)</f>
        <v>1</v>
      </c>
      <c r="AN19" s="62">
        <f>IF(COUNTIF(AM19:AM$19,AM19)&gt;1,1,0)</f>
        <v>0</v>
      </c>
      <c r="AO19" s="62">
        <f>AN19+AL19</f>
        <v>0</v>
      </c>
      <c r="AP19" s="62">
        <f>RANK(AO19,AO$19:AO$22,0)</f>
        <v>4</v>
      </c>
      <c r="AQ19" s="62">
        <f>IF(COUNTIF(AP19:AP$19,AP19)&gt;1,1,0)</f>
        <v>0</v>
      </c>
      <c r="AR19" s="62">
        <f>AQ19+AO19</f>
        <v>0</v>
      </c>
      <c r="AS19" s="62">
        <f>RANK(AR19,AR$19:AR$22,0)</f>
        <v>4</v>
      </c>
      <c r="AT19" s="62">
        <f>IF(COUNTIF(AS19:AS$19,AS19)&gt;1,1,0)</f>
        <v>0</v>
      </c>
      <c r="AU19" s="62">
        <f>AT19+AR19</f>
        <v>0</v>
      </c>
      <c r="AV19" s="62">
        <f>RANK(AU19,AU$19:AU$22,0)</f>
        <v>4</v>
      </c>
      <c r="BB19" s="62" t="s">
        <v>169</v>
      </c>
      <c r="BC19" s="62" t="s">
        <v>170</v>
      </c>
      <c r="BD19" s="62" t="s">
        <v>227</v>
      </c>
      <c r="BE19" s="62" t="s">
        <v>216</v>
      </c>
      <c r="BF19" s="62" t="str">
        <f>Tabelle!C19</f>
        <v>KSV Glauchau</v>
      </c>
      <c r="BG19" s="62" t="str">
        <f t="shared" si="1"/>
        <v>12. Platz</v>
      </c>
    </row>
    <row r="20" spans="1:56" ht="16.5">
      <c r="A20" s="34">
        <f t="shared" si="2"/>
        <v>146</v>
      </c>
      <c r="B20" s="34" t="s">
        <v>189</v>
      </c>
      <c r="C20" s="34">
        <v>1</v>
      </c>
      <c r="D20" s="35">
        <v>0.6944444444444445</v>
      </c>
      <c r="E20" s="43" t="s">
        <v>185</v>
      </c>
      <c r="F20" s="34" t="str">
        <f>IF(AND(AZ14&lt;2,BA14&lt;2),F8,"entfällt")</f>
        <v>1. Platz</v>
      </c>
      <c r="G20" s="34" t="s">
        <v>43</v>
      </c>
      <c r="H20" s="34" t="str">
        <f>IF(AND(AZ14&lt;2,BA14&lt;2),H8,"entfällt")</f>
        <v>8. Platz</v>
      </c>
      <c r="I20" s="36"/>
      <c r="J20" s="34" t="s">
        <v>43</v>
      </c>
      <c r="K20" s="36"/>
      <c r="L20" s="194" t="str">
        <f>IF(VLOOKUP(A20,Schiedsrichter!$A$3:$I$176,8,FALSE)=0,"-",VLOOKUP(A20,Schiedsrichter!$A$3:$I$176,8,FALSE))</f>
        <v>11. Platz</v>
      </c>
      <c r="M20" s="191" t="s">
        <v>249</v>
      </c>
      <c r="N20" s="197" t="str">
        <f>IF(VLOOKUP(A20,Schiedsrichter!$A$3:$I$176,9,FALSE)=0,"-",VLOOKUP(A20,Schiedsrichter!$A$3:$I$176,9,FALSE))</f>
        <v>5. Platz</v>
      </c>
      <c r="AD20" s="62">
        <f>RANK(AV20,$AV$19:$AV$22,1)</f>
        <v>3</v>
      </c>
      <c r="AE20" s="62" t="str">
        <f>AE14</f>
        <v>10. Platz</v>
      </c>
      <c r="AF20" s="62">
        <f aca="true" t="shared" si="6" ref="AF20:AJ22">AF8+AF14</f>
        <v>0</v>
      </c>
      <c r="AG20" s="62">
        <f t="shared" si="6"/>
        <v>0</v>
      </c>
      <c r="AH20" s="62">
        <f t="shared" si="6"/>
        <v>0</v>
      </c>
      <c r="AI20" s="62">
        <f t="shared" si="6"/>
        <v>0</v>
      </c>
      <c r="AJ20" s="62">
        <f t="shared" si="6"/>
        <v>0</v>
      </c>
      <c r="AK20" s="62">
        <f>AF20*3+AG20*1</f>
        <v>0</v>
      </c>
      <c r="AL20" s="62">
        <f>AK20*99999999+(AI20-AJ20)*888888+AI20*7777</f>
        <v>0</v>
      </c>
      <c r="AM20" s="62">
        <f>RANK(AL20,AL$19:AL$22,0)</f>
        <v>1</v>
      </c>
      <c r="AN20" s="62">
        <f>IF(COUNTIF(AM$19:AM20,AM20)&gt;1,1,0)</f>
        <v>1</v>
      </c>
      <c r="AO20" s="62">
        <f>AN20+AL20</f>
        <v>1</v>
      </c>
      <c r="AP20" s="62">
        <f>RANK(AO20,AO$19:AO$22,0)</f>
        <v>1</v>
      </c>
      <c r="AQ20" s="62">
        <f>IF(COUNTIF(AP$19:AP20,AP20)&gt;1,1,0)</f>
        <v>0</v>
      </c>
      <c r="AR20" s="62">
        <f>AQ20+AO20</f>
        <v>1</v>
      </c>
      <c r="AS20" s="62">
        <f>RANK(AR20,AR$19:AR$22,0)</f>
        <v>3</v>
      </c>
      <c r="AT20" s="62">
        <f>IF(COUNTIF(AS$19:AS20,AS20)&gt;1,1,0)</f>
        <v>0</v>
      </c>
      <c r="AU20" s="62">
        <f>AT20+AR20</f>
        <v>1</v>
      </c>
      <c r="AV20" s="62">
        <f>RANK(AU20,AU$19:AU$22,0)</f>
        <v>3</v>
      </c>
      <c r="AY20" s="62" t="str">
        <f>IF(OR(I20&gt;0,K20&gt;0),IF(I20&gt;K20,F20,H20),"leer")</f>
        <v>leer</v>
      </c>
      <c r="AZ20" s="62">
        <f>COUNTIF($AY$8:$AY$24,F14)</f>
        <v>0</v>
      </c>
      <c r="BA20" s="62">
        <f>COUNTIF($AY$8:$AY$24,H14)</f>
        <v>0</v>
      </c>
      <c r="BB20" s="62" t="str">
        <f>IF(BD20="ja",IF(AZ20&gt;1,F8,H8),BI7)</f>
        <v>Gew. Playoff 1A</v>
      </c>
      <c r="BC20" s="62" t="str">
        <f>IF(BD20="ja",IF(AZ20&gt;1,H8,F8),BJ7)</f>
        <v>Verl. Playoff 1A</v>
      </c>
      <c r="BD20" s="62" t="str">
        <f>IF(OR(AZ20&gt;1,BA20&gt;1),"ja","nein")</f>
        <v>nein</v>
      </c>
    </row>
    <row r="21" spans="1:56" ht="16.5">
      <c r="A21" s="34">
        <f t="shared" si="2"/>
        <v>147</v>
      </c>
      <c r="B21" s="34" t="s">
        <v>189</v>
      </c>
      <c r="C21" s="34">
        <v>1</v>
      </c>
      <c r="D21" s="35">
        <v>0.7222222222222223</v>
      </c>
      <c r="E21" s="43" t="s">
        <v>186</v>
      </c>
      <c r="F21" s="34" t="str">
        <f>IF(AND(AZ15&lt;2,BA15&lt;2),F9,"entfällt")</f>
        <v>2. Platz</v>
      </c>
      <c r="G21" s="34" t="s">
        <v>43</v>
      </c>
      <c r="H21" s="34" t="str">
        <f>IF(AND(AZ15&lt;2,BA15&lt;2),H9,"entfällt")</f>
        <v>7. Platz</v>
      </c>
      <c r="I21" s="36"/>
      <c r="J21" s="34" t="s">
        <v>43</v>
      </c>
      <c r="K21" s="36"/>
      <c r="L21" s="194" t="str">
        <f>IF(VLOOKUP(A21,Schiedsrichter!$A$3:$I$176,8,FALSE)=0,"-",VLOOKUP(A21,Schiedsrichter!$A$3:$I$176,8,FALSE))</f>
        <v>12. Platz</v>
      </c>
      <c r="M21" s="191" t="s">
        <v>249</v>
      </c>
      <c r="N21" s="197" t="str">
        <f>IF(VLOOKUP(A21,Schiedsrichter!$A$3:$I$176,9,FALSE)=0,"-",VLOOKUP(A21,Schiedsrichter!$A$3:$I$176,9,FALSE))</f>
        <v>3. Platz</v>
      </c>
      <c r="AD21" s="62">
        <f>RANK(AV21,$AV$19:$AV$22,1)</f>
        <v>2</v>
      </c>
      <c r="AE21" s="62" t="str">
        <f>AE15</f>
        <v>11. Platz</v>
      </c>
      <c r="AF21" s="62">
        <f t="shared" si="6"/>
        <v>0</v>
      </c>
      <c r="AG21" s="62">
        <f t="shared" si="6"/>
        <v>0</v>
      </c>
      <c r="AH21" s="62">
        <f t="shared" si="6"/>
        <v>0</v>
      </c>
      <c r="AI21" s="62">
        <f t="shared" si="6"/>
        <v>0</v>
      </c>
      <c r="AJ21" s="62">
        <f t="shared" si="6"/>
        <v>0</v>
      </c>
      <c r="AK21" s="62">
        <f>AF21*3+AG21*1</f>
        <v>0</v>
      </c>
      <c r="AL21" s="62">
        <f>AK21*99999999+(AI21-AJ21)*888888+AI21*7777</f>
        <v>0</v>
      </c>
      <c r="AM21" s="62">
        <f>RANK(AL21,AL$19:AL$22,0)</f>
        <v>1</v>
      </c>
      <c r="AN21" s="62">
        <f>IF(COUNTIF(AM$19:AM21,AM21)&gt;1,1,0)</f>
        <v>1</v>
      </c>
      <c r="AO21" s="62">
        <f>AN21+AL21</f>
        <v>1</v>
      </c>
      <c r="AP21" s="62">
        <f>RANK(AO21,AO$19:AO$22,0)</f>
        <v>1</v>
      </c>
      <c r="AQ21" s="62">
        <f>IF(COUNTIF(AP$19:AP21,AP21)&gt;1,1,0)</f>
        <v>1</v>
      </c>
      <c r="AR21" s="62">
        <f>AQ21+AO21</f>
        <v>2</v>
      </c>
      <c r="AS21" s="62">
        <f>RANK(AR21,AR$19:AR$22,0)</f>
        <v>1</v>
      </c>
      <c r="AT21" s="62">
        <f>IF(COUNTIF(AS$19:AS21,AS21)&gt;1,1,0)</f>
        <v>0</v>
      </c>
      <c r="AU21" s="62">
        <f>AT21+AR21</f>
        <v>2</v>
      </c>
      <c r="AV21" s="62">
        <f>RANK(AU21,AU$19:AU$22,0)</f>
        <v>2</v>
      </c>
      <c r="AY21" s="62" t="str">
        <f>IF(OR(I21&gt;0,K21&gt;0),IF(I21&gt;K21,F21,H21),"leer")</f>
        <v>leer</v>
      </c>
      <c r="AZ21" s="62">
        <f>COUNTIF($AY$8:$AY$24,F15)</f>
        <v>0</v>
      </c>
      <c r="BA21" s="62">
        <f>COUNTIF($AY$8:$AY$24,H15)</f>
        <v>0</v>
      </c>
      <c r="BB21" s="62" t="str">
        <f>IF(BD21="ja",IF(AZ21&gt;1,F9,H9),BI8)</f>
        <v>Gew. Playoff 1B</v>
      </c>
      <c r="BC21" s="62" t="str">
        <f>IF(BD21="ja",IF(AZ21&gt;1,H9,F9),BJ8)</f>
        <v>Verl. Playoff 1B</v>
      </c>
      <c r="BD21" s="62" t="str">
        <f>IF(OR(AZ21&gt;1,BA21&gt;1),"ja","nein")</f>
        <v>nein</v>
      </c>
    </row>
    <row r="22" spans="1:48" ht="16.5">
      <c r="A22" s="144">
        <f t="shared" si="2"/>
        <v>148</v>
      </c>
      <c r="B22" s="144" t="s">
        <v>27</v>
      </c>
      <c r="C22" s="144">
        <v>1</v>
      </c>
      <c r="D22" s="145">
        <v>0.7500000000000001</v>
      </c>
      <c r="E22" s="146" t="s">
        <v>176</v>
      </c>
      <c r="F22" s="144" t="str">
        <f>BG16</f>
        <v>9. Platz</v>
      </c>
      <c r="G22" s="144" t="s">
        <v>43</v>
      </c>
      <c r="H22" s="144" t="str">
        <f>BG18</f>
        <v>11. Platz</v>
      </c>
      <c r="I22" s="147"/>
      <c r="J22" s="144" t="s">
        <v>43</v>
      </c>
      <c r="K22" s="147"/>
      <c r="L22" s="203" t="str">
        <f>IF(VLOOKUP(A22,Schiedsrichter!$A$3:$I$176,8,FALSE)=0,"-",VLOOKUP(A22,Schiedsrichter!$A$3:$I$176,8,FALSE))</f>
        <v>8. Platz</v>
      </c>
      <c r="M22" s="201" t="s">
        <v>249</v>
      </c>
      <c r="N22" s="206" t="str">
        <f>IF(VLOOKUP(A22,Schiedsrichter!$A$3:$I$176,9,FALSE)=0,"-",VLOOKUP(A22,Schiedsrichter!$A$3:$I$176,9,FALSE))</f>
        <v>1. Platz</v>
      </c>
      <c r="P22" s="62" t="str">
        <f>IF(OR(I22="",K22=""),"na",1)</f>
        <v>na</v>
      </c>
      <c r="Q22" s="62" t="str">
        <f>F22</f>
        <v>9. Platz</v>
      </c>
      <c r="R22" s="62">
        <f>IF($P22=1,IF($I22&gt;$K22,1,0),"")</f>
      </c>
      <c r="S22" s="62">
        <f>IF($P22=1,IF($I22=$K22,1,0),"")</f>
      </c>
      <c r="T22" s="62">
        <f>IF($P22=1,IF($I22&lt;$K22,1,0),"")</f>
      </c>
      <c r="U22" s="62">
        <f>IF($P22=1,$I22,"")</f>
      </c>
      <c r="V22" s="62">
        <f>IF($P22=1,$K22,"")</f>
      </c>
      <c r="W22" s="62" t="str">
        <f>H22</f>
        <v>11. Platz</v>
      </c>
      <c r="X22" s="62">
        <f>IF($P22=1,IF($I22&lt;$K22,1,0),"")</f>
      </c>
      <c r="Y22" s="62">
        <f>IF($P22=1,IF($I22=$K22,1,0),"")</f>
      </c>
      <c r="Z22" s="62">
        <f>IF($P22=1,IF($I22&gt;$K22,1,0),"")</f>
      </c>
      <c r="AA22" s="62">
        <f>IF($P22=1,$K22,"")</f>
      </c>
      <c r="AB22" s="62">
        <f t="shared" si="3"/>
      </c>
      <c r="AD22" s="62">
        <f>RANK(AV22,$AV$19:$AV$22,1)</f>
        <v>1</v>
      </c>
      <c r="AE22" s="62" t="str">
        <f>AE16</f>
        <v>12. Platz</v>
      </c>
      <c r="AF22" s="62">
        <f t="shared" si="6"/>
        <v>0</v>
      </c>
      <c r="AG22" s="62">
        <f t="shared" si="6"/>
        <v>0</v>
      </c>
      <c r="AH22" s="62">
        <f t="shared" si="6"/>
        <v>0</v>
      </c>
      <c r="AI22" s="62">
        <f t="shared" si="6"/>
        <v>0</v>
      </c>
      <c r="AJ22" s="62">
        <f t="shared" si="6"/>
        <v>0</v>
      </c>
      <c r="AK22" s="62">
        <f>AF22*3+AG22*1</f>
        <v>0</v>
      </c>
      <c r="AL22" s="62">
        <f>AK22*99999999+(AI22-AJ22)*888888+AI22*7777</f>
        <v>0</v>
      </c>
      <c r="AM22" s="62">
        <f>RANK(AL22,AL$19:AL$22,0)</f>
        <v>1</v>
      </c>
      <c r="AN22" s="62">
        <f>IF(COUNTIF(AM$19:AM22,AM22)&gt;1,1,0)</f>
        <v>1</v>
      </c>
      <c r="AO22" s="62">
        <f>AN22+AL22</f>
        <v>1</v>
      </c>
      <c r="AP22" s="62">
        <f>RANK(AO22,AO$19:AO$22,0)</f>
        <v>1</v>
      </c>
      <c r="AQ22" s="62">
        <f>IF(COUNTIF(AP$19:AP22,AP22)&gt;1,1,0)</f>
        <v>1</v>
      </c>
      <c r="AR22" s="62">
        <f>AQ22+AO22</f>
        <v>2</v>
      </c>
      <c r="AS22" s="62">
        <f>RANK(AR22,AR$19:AR$22,0)</f>
        <v>1</v>
      </c>
      <c r="AT22" s="62">
        <f>IF(COUNTIF(AS$19:AS22,AS22)&gt;1,1,0)</f>
        <v>1</v>
      </c>
      <c r="AU22" s="62">
        <f>AT22+AR22</f>
        <v>3</v>
      </c>
      <c r="AV22" s="62">
        <f>RANK(AU22,AU$19:AU$22,0)</f>
        <v>1</v>
      </c>
    </row>
    <row r="23" spans="1:56" ht="16.5">
      <c r="A23" s="34">
        <f t="shared" si="2"/>
        <v>149</v>
      </c>
      <c r="B23" s="34" t="s">
        <v>189</v>
      </c>
      <c r="C23" s="34">
        <v>1</v>
      </c>
      <c r="D23" s="35">
        <v>0.7777777777777779</v>
      </c>
      <c r="E23" s="43" t="s">
        <v>187</v>
      </c>
      <c r="F23" s="34" t="str">
        <f>IF(AND(AZ17&lt;2,BA17&lt;2),F11,"entfällt")</f>
        <v>3. Platz</v>
      </c>
      <c r="G23" s="34" t="s">
        <v>43</v>
      </c>
      <c r="H23" s="34" t="str">
        <f>IF(AND(AZ17&lt;2,BA17&lt;2),H11,"entfällt")</f>
        <v>6. Platz</v>
      </c>
      <c r="I23" s="36"/>
      <c r="J23" s="34" t="s">
        <v>43</v>
      </c>
      <c r="K23" s="36"/>
      <c r="L23" s="194" t="str">
        <f>IF(VLOOKUP(A23,Schiedsrichter!$A$3:$I$176,8,FALSE)=0,"-",VLOOKUP(A23,Schiedsrichter!$A$3:$I$176,8,FALSE))</f>
        <v>10. Platz</v>
      </c>
      <c r="M23" s="191" t="s">
        <v>249</v>
      </c>
      <c r="N23" s="197" t="str">
        <f>IF(VLOOKUP(A23,Schiedsrichter!$A$3:$I$176,9,FALSE)=0,"-",VLOOKUP(A23,Schiedsrichter!$A$3:$I$176,9,FALSE))</f>
        <v>2. Platz</v>
      </c>
      <c r="AF23" s="62">
        <f>SUM(AF19:AH22)</f>
        <v>0</v>
      </c>
      <c r="AY23" s="62" t="str">
        <f>IF(OR(I23&gt;0,K23&gt;0),IF(I23&gt;K23,F23,H23),"leer")</f>
        <v>leer</v>
      </c>
      <c r="AZ23" s="62">
        <f>COUNTIF($AY$8:$AY$24,F17)</f>
        <v>0</v>
      </c>
      <c r="BA23" s="62">
        <f>COUNTIF($AY$8:$AY$24,H17)</f>
        <v>0</v>
      </c>
      <c r="BB23" s="62" t="str">
        <f>IF(BD23="ja",IF(AZ23&gt;1,F11,H11),BI9)</f>
        <v>Gew. Playoff 1C</v>
      </c>
      <c r="BC23" s="62" t="str">
        <f>IF(BD23="ja",IF(AZ23&gt;1,H11,F11),BJ9)</f>
        <v>Verl. Playoff 1C</v>
      </c>
      <c r="BD23" s="62" t="str">
        <f>IF(OR(AZ23&gt;1,BA23&gt;1),"ja","nein")</f>
        <v>nein</v>
      </c>
    </row>
    <row r="24" spans="1:56" ht="16.5">
      <c r="A24" s="34">
        <f t="shared" si="2"/>
        <v>150</v>
      </c>
      <c r="B24" s="34" t="s">
        <v>189</v>
      </c>
      <c r="C24" s="34">
        <v>1</v>
      </c>
      <c r="D24" s="35">
        <v>0.8055555555555557</v>
      </c>
      <c r="E24" s="43" t="s">
        <v>188</v>
      </c>
      <c r="F24" s="34" t="str">
        <f>IF(AND(AZ18&lt;2,BA18&lt;2),F12,"entfällt")</f>
        <v>4. Platz</v>
      </c>
      <c r="G24" s="34" t="s">
        <v>43</v>
      </c>
      <c r="H24" s="34" t="str">
        <f>IF(AND(AZ18&lt;2,BA18&lt;2),H12,"entfällt")</f>
        <v>5. Platz</v>
      </c>
      <c r="I24" s="36"/>
      <c r="J24" s="34" t="s">
        <v>43</v>
      </c>
      <c r="K24" s="36"/>
      <c r="L24" s="194" t="str">
        <f>IF(VLOOKUP(A24,Schiedsrichter!$A$3:$I$176,8,FALSE)=0,"-",VLOOKUP(A24,Schiedsrichter!$A$3:$I$176,8,FALSE))</f>
        <v>9. Platz</v>
      </c>
      <c r="M24" s="191" t="s">
        <v>249</v>
      </c>
      <c r="N24" s="197" t="str">
        <f>IF(VLOOKUP(A24,Schiedsrichter!$A$3:$I$176,9,FALSE)=0,"-",VLOOKUP(A24,Schiedsrichter!$A$3:$I$176,9,FALSE))</f>
        <v>7. Platz</v>
      </c>
      <c r="AY24" s="62" t="str">
        <f>IF(OR(I24&gt;0,K24&gt;0),IF(I24&gt;K24,F24,H24),"leer")</f>
        <v>leer</v>
      </c>
      <c r="AZ24" s="62">
        <f>COUNTIF($AY$8:$AY$24,F18)</f>
        <v>0</v>
      </c>
      <c r="BA24" s="62">
        <f>COUNTIF($AY$8:$AY$24,H18)</f>
        <v>0</v>
      </c>
      <c r="BB24" s="62" t="str">
        <f>IF(BD24="ja",IF(AZ24&gt;1,F12,H12),BI10)</f>
        <v>Gew. Playoff 1D</v>
      </c>
      <c r="BC24" s="62" t="str">
        <f>IF(BD24="ja",IF(AZ24&gt;1,H12,F12),BJ10)</f>
        <v>Verl. Playoff 1D</v>
      </c>
      <c r="BD24" s="62" t="str">
        <f>IF(OR(AZ24&gt;1,BA24&gt;1),"ja","nein")</f>
        <v>nein</v>
      </c>
    </row>
    <row r="25" spans="1:14" ht="3.75" customHeight="1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7.25">
      <c r="A26" s="354" t="str">
        <f>TEXT(((Saisondaten!$B$12)+1),"[$-F800]TTTT, MMMM TT, JJJJ")</f>
        <v>Samstag, 15. September 2018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</row>
    <row r="27" spans="1:31" ht="16.5">
      <c r="A27" s="144">
        <f>A24+1</f>
        <v>151</v>
      </c>
      <c r="B27" s="144" t="s">
        <v>189</v>
      </c>
      <c r="C27" s="144">
        <v>1</v>
      </c>
      <c r="D27" s="145">
        <v>0.3333333333333333</v>
      </c>
      <c r="E27" s="146" t="s">
        <v>203</v>
      </c>
      <c r="F27" s="144" t="str">
        <f>AE27</f>
        <v>1. AS Tabelle</v>
      </c>
      <c r="G27" s="144" t="s">
        <v>43</v>
      </c>
      <c r="H27" s="144" t="str">
        <f>AE28</f>
        <v>2. AS Tabelle</v>
      </c>
      <c r="I27" s="147"/>
      <c r="J27" s="144" t="s">
        <v>43</v>
      </c>
      <c r="K27" s="147"/>
      <c r="L27" s="203" t="str">
        <f>IF(VLOOKUP(A27,Schiedsrichter!$A$3:$I$176,8,FALSE)=0,"-",VLOOKUP(A27,Schiedsrichter!$A$3:$I$176,8,FALSE))</f>
        <v>Gew. Playoff 1A</v>
      </c>
      <c r="M27" s="201" t="s">
        <v>249</v>
      </c>
      <c r="N27" s="206" t="str">
        <f>IF(VLOOKUP(A27,Schiedsrichter!$A$3:$I$176,9,FALSE)=0,"-",VLOOKUP(A27,Schiedsrichter!$A$3:$I$176,9,FALSE))</f>
        <v>Verl. Playoff 1C</v>
      </c>
      <c r="AD27" s="62">
        <v>1</v>
      </c>
      <c r="AE27" s="62" t="str">
        <f>IF($AF$23=12,VLOOKUP(AD27,$AD$19:$AE$22,2,FALSE),AE32)</f>
        <v>1. AS Tabelle</v>
      </c>
    </row>
    <row r="28" spans="1:31" ht="16.5">
      <c r="A28" s="144">
        <f>A27+1</f>
        <v>152</v>
      </c>
      <c r="B28" s="144" t="s">
        <v>189</v>
      </c>
      <c r="C28" s="144">
        <v>1</v>
      </c>
      <c r="D28" s="145">
        <v>0.3611111111111111</v>
      </c>
      <c r="E28" s="146" t="s">
        <v>204</v>
      </c>
      <c r="F28" s="144" t="str">
        <f>AE29</f>
        <v>3. AS Tabelle</v>
      </c>
      <c r="G28" s="144" t="s">
        <v>43</v>
      </c>
      <c r="H28" s="144" t="str">
        <f>AE30</f>
        <v>4. AS Tabelle</v>
      </c>
      <c r="I28" s="147"/>
      <c r="J28" s="144" t="s">
        <v>43</v>
      </c>
      <c r="K28" s="147"/>
      <c r="L28" s="203" t="str">
        <f>IF(VLOOKUP(A28,Schiedsrichter!$A$3:$I$176,8,FALSE)=0,"-",VLOOKUP(A28,Schiedsrichter!$A$3:$I$176,8,FALSE))</f>
        <v>Gew. Playoff 1C</v>
      </c>
      <c r="M28" s="201" t="s">
        <v>249</v>
      </c>
      <c r="N28" s="206" t="str">
        <f>IF(VLOOKUP(A28,Schiedsrichter!$A$3:$I$176,9,FALSE)=0,"-",VLOOKUP(A28,Schiedsrichter!$A$3:$I$176,9,FALSE))</f>
        <v>Gew. Playoff 1D</v>
      </c>
      <c r="AD28" s="62">
        <v>2</v>
      </c>
      <c r="AE28" s="62" t="str">
        <f>IF($AF$23=12,VLOOKUP(AD28,$AD$19:$AE$22,2,FALSE),AE33)</f>
        <v>2. AS Tabelle</v>
      </c>
    </row>
    <row r="29" spans="1:51" ht="16.5">
      <c r="A29" s="34">
        <f>A28+1</f>
        <v>153</v>
      </c>
      <c r="B29" s="34" t="s">
        <v>189</v>
      </c>
      <c r="C29" s="34">
        <v>1</v>
      </c>
      <c r="D29" s="35">
        <v>0.3888888888888889</v>
      </c>
      <c r="E29" s="43" t="s">
        <v>190</v>
      </c>
      <c r="F29" s="34" t="str">
        <f>BC20</f>
        <v>Verl. Playoff 1A</v>
      </c>
      <c r="G29" s="34" t="s">
        <v>43</v>
      </c>
      <c r="H29" s="34" t="str">
        <f>BC24</f>
        <v>Verl. Playoff 1D</v>
      </c>
      <c r="I29" s="36"/>
      <c r="J29" s="34" t="s">
        <v>43</v>
      </c>
      <c r="K29" s="36"/>
      <c r="L29" s="194" t="str">
        <f>IF(VLOOKUP(A29,Schiedsrichter!$A$3:$I$176,8,FALSE)=0,"-",VLOOKUP(A29,Schiedsrichter!$A$3:$I$176,8,FALSE))</f>
        <v>2. AS Tabelle</v>
      </c>
      <c r="M29" s="191" t="s">
        <v>249</v>
      </c>
      <c r="N29" s="197" t="str">
        <f>IF(VLOOKUP(A29,Schiedsrichter!$A$3:$I$176,9,FALSE)=0,"-",VLOOKUP(A29,Schiedsrichter!$A$3:$I$176,9,FALSE))</f>
        <v>1. AS Tabelle</v>
      </c>
      <c r="Z29" s="62">
        <f>IF($P29=1,IF($I29&gt;$K29,1,0),"")</f>
      </c>
      <c r="AA29" s="62">
        <f>IF($P29=1,$K29,"")</f>
      </c>
      <c r="AB29" s="62">
        <f t="shared" si="3"/>
      </c>
      <c r="AD29" s="62">
        <v>3</v>
      </c>
      <c r="AE29" s="62" t="str">
        <f>IF($AF$23=12,VLOOKUP(AD29,$AD$19:$AE$22,2,FALSE),AE34)</f>
        <v>3. AS Tabelle</v>
      </c>
      <c r="AY29" s="62" t="str">
        <f>IF(OR(I29&gt;0,K29&gt;0),IF(I29&gt;K29,F29,H29),"leer")</f>
        <v>leer</v>
      </c>
    </row>
    <row r="30" spans="1:51" ht="16.5">
      <c r="A30" s="34">
        <f aca="true" t="shared" si="7" ref="A30:A42">A29+1</f>
        <v>154</v>
      </c>
      <c r="B30" s="34" t="s">
        <v>189</v>
      </c>
      <c r="C30" s="34">
        <v>1</v>
      </c>
      <c r="D30" s="35">
        <v>0.4166666666666667</v>
      </c>
      <c r="E30" s="43" t="s">
        <v>191</v>
      </c>
      <c r="F30" s="34" t="str">
        <f>BC21</f>
        <v>Verl. Playoff 1B</v>
      </c>
      <c r="G30" s="34" t="s">
        <v>43</v>
      </c>
      <c r="H30" s="34" t="str">
        <f>BC23</f>
        <v>Verl. Playoff 1C</v>
      </c>
      <c r="I30" s="36"/>
      <c r="J30" s="34" t="s">
        <v>43</v>
      </c>
      <c r="K30" s="36"/>
      <c r="L30" s="194" t="str">
        <f>IF(VLOOKUP(A30,Schiedsrichter!$A$3:$I$176,8,FALSE)=0,"-",VLOOKUP(A30,Schiedsrichter!$A$3:$I$176,8,FALSE))</f>
        <v>Gew. Playoff 1B</v>
      </c>
      <c r="M30" s="191" t="s">
        <v>249</v>
      </c>
      <c r="N30" s="197" t="str">
        <f>IF(VLOOKUP(A30,Schiedsrichter!$A$3:$I$176,9,FALSE)=0,"-",VLOOKUP(A30,Schiedsrichter!$A$3:$I$176,9,FALSE))</f>
        <v>3. AS Tabelle</v>
      </c>
      <c r="Z30" s="62">
        <f>IF($P30=1,IF($I30&gt;$K30,1,0),"")</f>
      </c>
      <c r="AA30" s="62">
        <f>IF($P30=1,$K30,"")</f>
      </c>
      <c r="AB30" s="62">
        <f t="shared" si="3"/>
      </c>
      <c r="AD30" s="62">
        <v>4</v>
      </c>
      <c r="AE30" s="62" t="str">
        <f>IF($AF$23=12,VLOOKUP(AD30,$AD$19:$AE$22,2,FALSE),AE35)</f>
        <v>4. AS Tabelle</v>
      </c>
      <c r="AY30" s="62" t="str">
        <f>IF(OR(I30&gt;0,K30&gt;0),IF(I30&gt;K30,F30,H30),"leer")</f>
        <v>leer</v>
      </c>
    </row>
    <row r="31" spans="1:51" ht="16.5">
      <c r="A31" s="34">
        <f t="shared" si="7"/>
        <v>155</v>
      </c>
      <c r="B31" s="34" t="s">
        <v>189</v>
      </c>
      <c r="C31" s="34">
        <v>1</v>
      </c>
      <c r="D31" s="35">
        <v>0.4444444444444445</v>
      </c>
      <c r="E31" s="43" t="s">
        <v>192</v>
      </c>
      <c r="F31" s="34" t="str">
        <f>BB20</f>
        <v>Gew. Playoff 1A</v>
      </c>
      <c r="G31" s="34" t="s">
        <v>43</v>
      </c>
      <c r="H31" s="34" t="str">
        <f>BB24</f>
        <v>Gew. Playoff 1D</v>
      </c>
      <c r="I31" s="36"/>
      <c r="J31" s="34" t="s">
        <v>43</v>
      </c>
      <c r="K31" s="36"/>
      <c r="L31" s="194" t="str">
        <f>IF(VLOOKUP(A31,Schiedsrichter!$A$3:$I$176,8,FALSE)=0,"-",VLOOKUP(A31,Schiedsrichter!$A$3:$I$176,8,FALSE))</f>
        <v>Verl. Playoff 1A</v>
      </c>
      <c r="M31" s="191" t="s">
        <v>249</v>
      </c>
      <c r="N31" s="197" t="str">
        <f>IF(VLOOKUP(A31,Schiedsrichter!$A$3:$I$176,9,FALSE)=0,"-",VLOOKUP(A31,Schiedsrichter!$A$3:$I$176,9,FALSE))</f>
        <v>4. AS Tabelle</v>
      </c>
      <c r="Z31" s="62">
        <f>IF($P31=1,IF($I31&gt;$K31,1,0),"")</f>
      </c>
      <c r="AA31" s="62">
        <f>IF($P31=1,$K31,"")</f>
      </c>
      <c r="AB31" s="62">
        <f t="shared" si="3"/>
      </c>
      <c r="AY31" s="62" t="str">
        <f>IF(OR(I31&gt;0,K31&gt;0),IF(I31&gt;K31,F31,H31),"leer")</f>
        <v>leer</v>
      </c>
    </row>
    <row r="32" spans="1:51" ht="16.5">
      <c r="A32" s="34">
        <f t="shared" si="7"/>
        <v>156</v>
      </c>
      <c r="B32" s="34" t="s">
        <v>189</v>
      </c>
      <c r="C32" s="34">
        <v>1</v>
      </c>
      <c r="D32" s="35">
        <v>0.47222222222222227</v>
      </c>
      <c r="E32" s="43" t="s">
        <v>193</v>
      </c>
      <c r="F32" s="34" t="str">
        <f>BB21</f>
        <v>Gew. Playoff 1B</v>
      </c>
      <c r="G32" s="34" t="s">
        <v>43</v>
      </c>
      <c r="H32" s="34" t="str">
        <f>BB23</f>
        <v>Gew. Playoff 1C</v>
      </c>
      <c r="I32" s="36"/>
      <c r="J32" s="34" t="s">
        <v>43</v>
      </c>
      <c r="K32" s="36"/>
      <c r="L32" s="194" t="str">
        <f>IF(VLOOKUP(A32,Schiedsrichter!$A$3:$I$176,8,FALSE)=0,"-",VLOOKUP(A32,Schiedsrichter!$A$3:$I$176,8,FALSE))</f>
        <v>Verl. Playoff 1D</v>
      </c>
      <c r="M32" s="191" t="s">
        <v>249</v>
      </c>
      <c r="N32" s="197" t="str">
        <f>IF(VLOOKUP(A32,Schiedsrichter!$A$3:$I$176,9,FALSE)=0,"-",VLOOKUP(A32,Schiedsrichter!$A$3:$I$176,9,FALSE))</f>
        <v>Verl. Playoff 1B</v>
      </c>
      <c r="Z32" s="62">
        <f>IF($P32=1,IF($I32&gt;$K32,1,0),"")</f>
      </c>
      <c r="AA32" s="62">
        <f>IF($P32=1,$K32,"")</f>
      </c>
      <c r="AB32" s="62">
        <f t="shared" si="3"/>
      </c>
      <c r="AE32" s="62" t="s">
        <v>240</v>
      </c>
      <c r="AY32" s="62" t="str">
        <f>IF(OR(I32&gt;0,K32&gt;0),IF(I32&gt;K32,F32,H32),"leer")</f>
        <v>leer</v>
      </c>
    </row>
    <row r="33" spans="1:31" ht="16.5">
      <c r="A33" s="144">
        <f t="shared" si="7"/>
        <v>157</v>
      </c>
      <c r="B33" s="144" t="s">
        <v>189</v>
      </c>
      <c r="C33" s="144">
        <v>1</v>
      </c>
      <c r="D33" s="145">
        <v>0.5</v>
      </c>
      <c r="E33" s="146" t="s">
        <v>194</v>
      </c>
      <c r="F33" s="144" t="str">
        <f>IF($I$27="","Verl. Spiel "&amp;A27,IF($K$27&gt;$I$27,$F$27,$H$27))</f>
        <v>Verl. Spiel 151</v>
      </c>
      <c r="G33" s="144" t="s">
        <v>43</v>
      </c>
      <c r="H33" s="144" t="str">
        <f>IF(I28="","Gew. Spiel "&amp;A28,IF(I28&gt;K28,F28,H28))</f>
        <v>Gew. Spiel 152</v>
      </c>
      <c r="I33" s="147"/>
      <c r="J33" s="144" t="s">
        <v>43</v>
      </c>
      <c r="K33" s="147"/>
      <c r="L33" s="203" t="str">
        <f>IF(VLOOKUP(A33,Schiedsrichter!$A$3:$I$176,8,FALSE)=0,"-",VLOOKUP(A33,Schiedsrichter!$A$3:$I$176,8,FALSE))</f>
        <v>Gew. Playoff 1A</v>
      </c>
      <c r="M33" s="201" t="s">
        <v>249</v>
      </c>
      <c r="N33" s="206" t="str">
        <f>IF(VLOOKUP(A33,Schiedsrichter!$A$3:$I$176,9,FALSE)=0,"-",VLOOKUP(A33,Schiedsrichter!$A$3:$I$176,9,FALSE))</f>
        <v>Verl. Spiel 152</v>
      </c>
      <c r="AE33" s="62" t="s">
        <v>241</v>
      </c>
    </row>
    <row r="34" spans="1:53" ht="16.5">
      <c r="A34" s="34">
        <f t="shared" si="7"/>
        <v>158</v>
      </c>
      <c r="B34" s="34" t="s">
        <v>189</v>
      </c>
      <c r="C34" s="34">
        <v>1</v>
      </c>
      <c r="D34" s="35">
        <v>0.5277777777777778</v>
      </c>
      <c r="E34" s="43" t="s">
        <v>195</v>
      </c>
      <c r="F34" s="34" t="str">
        <f>F29</f>
        <v>Verl. Playoff 1A</v>
      </c>
      <c r="G34" s="34" t="s">
        <v>43</v>
      </c>
      <c r="H34" s="34" t="str">
        <f>H29</f>
        <v>Verl. Playoff 1D</v>
      </c>
      <c r="I34" s="36"/>
      <c r="J34" s="34" t="s">
        <v>43</v>
      </c>
      <c r="K34" s="36"/>
      <c r="L34" s="194" t="str">
        <f>IF(VLOOKUP(A34,Schiedsrichter!$A$3:$I$176,8,FALSE)=0,"-",VLOOKUP(A34,Schiedsrichter!$A$3:$I$176,8,FALSE))</f>
        <v>Gew. Playoff 1D</v>
      </c>
      <c r="M34" s="191" t="s">
        <v>249</v>
      </c>
      <c r="N34" s="197" t="str">
        <f>IF(VLOOKUP(A34,Schiedsrichter!$A$3:$I$176,9,FALSE)=0,"-",VLOOKUP(A34,Schiedsrichter!$A$3:$I$176,9,FALSE))</f>
        <v>Gew. Spiel 151</v>
      </c>
      <c r="AE34" s="62" t="s">
        <v>242</v>
      </c>
      <c r="AY34" s="62" t="str">
        <f>IF(OR(I34&gt;0,K34&gt;0),IF(I34&gt;K34,F34,H34),"leer")</f>
        <v>leer</v>
      </c>
      <c r="AZ34" s="62">
        <f>COUNTIF($AY$29:$AY$37,F29)</f>
        <v>0</v>
      </c>
      <c r="BA34" s="62">
        <f>COUNTIF($AY$29:$AY$37,H29)</f>
        <v>0</v>
      </c>
    </row>
    <row r="35" spans="1:53" ht="16.5">
      <c r="A35" s="34">
        <f t="shared" si="7"/>
        <v>159</v>
      </c>
      <c r="B35" s="34" t="s">
        <v>189</v>
      </c>
      <c r="C35" s="34">
        <v>1</v>
      </c>
      <c r="D35" s="35">
        <v>0.5555555555555556</v>
      </c>
      <c r="E35" s="43" t="s">
        <v>196</v>
      </c>
      <c r="F35" s="34" t="str">
        <f>F30</f>
        <v>Verl. Playoff 1B</v>
      </c>
      <c r="G35" s="34" t="s">
        <v>43</v>
      </c>
      <c r="H35" s="34" t="str">
        <f>H30</f>
        <v>Verl. Playoff 1C</v>
      </c>
      <c r="I35" s="36"/>
      <c r="J35" s="34" t="s">
        <v>43</v>
      </c>
      <c r="K35" s="36"/>
      <c r="L35" s="194" t="str">
        <f>IF(VLOOKUP(A35,Schiedsrichter!$A$3:$I$176,8,FALSE)=0,"-",VLOOKUP(A35,Schiedsrichter!$A$3:$I$176,8,FALSE))</f>
        <v>Gew. Playoff 1C</v>
      </c>
      <c r="M35" s="191" t="s">
        <v>249</v>
      </c>
      <c r="N35" s="197" t="str">
        <f>IF(VLOOKUP(A35,Schiedsrichter!$A$3:$I$176,9,FALSE)=0,"-",VLOOKUP(A35,Schiedsrichter!$A$3:$I$176,9,FALSE))</f>
        <v>Gew. Playoff 1B</v>
      </c>
      <c r="AE35" s="62" t="s">
        <v>243</v>
      </c>
      <c r="AY35" s="62" t="str">
        <f>IF(OR(I35&gt;0,K35&gt;0),IF(I35&gt;K35,F35,H35),"leer")</f>
        <v>leer</v>
      </c>
      <c r="AZ35" s="62">
        <f>COUNTIF($AY$29:$AY$37,F30)</f>
        <v>0</v>
      </c>
      <c r="BA35" s="62">
        <f>COUNTIF($AY$29:$AY$37,H30)</f>
        <v>0</v>
      </c>
    </row>
    <row r="36" spans="1:53" ht="16.5">
      <c r="A36" s="34">
        <f t="shared" si="7"/>
        <v>160</v>
      </c>
      <c r="B36" s="34" t="s">
        <v>189</v>
      </c>
      <c r="C36" s="34">
        <v>1</v>
      </c>
      <c r="D36" s="35">
        <v>0.5833333333333334</v>
      </c>
      <c r="E36" s="43" t="s">
        <v>197</v>
      </c>
      <c r="F36" s="34" t="str">
        <f>F31</f>
        <v>Gew. Playoff 1A</v>
      </c>
      <c r="G36" s="34" t="s">
        <v>43</v>
      </c>
      <c r="H36" s="34" t="str">
        <f>H31</f>
        <v>Gew. Playoff 1D</v>
      </c>
      <c r="I36" s="36"/>
      <c r="J36" s="34" t="s">
        <v>43</v>
      </c>
      <c r="K36" s="36"/>
      <c r="L36" s="194" t="str">
        <f>IF(VLOOKUP(A36,Schiedsrichter!$A$3:$I$176,8,FALSE)=0,"-",VLOOKUP(A36,Schiedsrichter!$A$3:$I$176,8,FALSE))</f>
        <v>Gew. Spiel 152</v>
      </c>
      <c r="M36" s="191" t="s">
        <v>249</v>
      </c>
      <c r="N36" s="197" t="str">
        <f>IF(VLOOKUP(A36,Schiedsrichter!$A$3:$I$176,9,FALSE)=0,"-",VLOOKUP(A36,Schiedsrichter!$A$3:$I$176,9,FALSE))</f>
        <v>Verl. Spiel 151</v>
      </c>
      <c r="AY36" s="62" t="str">
        <f>IF(OR(I36&gt;0,K36&gt;0),IF(I36&gt;K36,F36,H36),"leer")</f>
        <v>leer</v>
      </c>
      <c r="AZ36" s="62">
        <f>COUNTIF($AY$29:$AY$37,F31)</f>
        <v>0</v>
      </c>
      <c r="BA36" s="62">
        <f>COUNTIF($AY$29:$AY$37,H31)</f>
        <v>0</v>
      </c>
    </row>
    <row r="37" spans="1:53" ht="16.5">
      <c r="A37" s="34">
        <f t="shared" si="7"/>
        <v>161</v>
      </c>
      <c r="B37" s="34" t="s">
        <v>189</v>
      </c>
      <c r="C37" s="34">
        <v>1</v>
      </c>
      <c r="D37" s="35">
        <v>0.6111111111111112</v>
      </c>
      <c r="E37" s="43" t="s">
        <v>198</v>
      </c>
      <c r="F37" s="34" t="str">
        <f>F32</f>
        <v>Gew. Playoff 1B</v>
      </c>
      <c r="G37" s="34" t="s">
        <v>43</v>
      </c>
      <c r="H37" s="34" t="str">
        <f>H32</f>
        <v>Gew. Playoff 1C</v>
      </c>
      <c r="I37" s="36"/>
      <c r="J37" s="34" t="s">
        <v>43</v>
      </c>
      <c r="K37" s="36"/>
      <c r="L37" s="194" t="str">
        <f>IF(VLOOKUP(A37,Schiedsrichter!$A$3:$I$176,8,FALSE)=0,"-",VLOOKUP(A37,Schiedsrichter!$A$3:$I$176,8,FALSE))</f>
        <v>Verl. Playoff 1A</v>
      </c>
      <c r="M37" s="191" t="s">
        <v>249</v>
      </c>
      <c r="N37" s="197" t="str">
        <f>IF(VLOOKUP(A37,Schiedsrichter!$A$3:$I$176,9,FALSE)=0,"-",VLOOKUP(A37,Schiedsrichter!$A$3:$I$176,9,FALSE))</f>
        <v>Verl. Playoff 1D</v>
      </c>
      <c r="AE37" s="171" t="s">
        <v>250</v>
      </c>
      <c r="AY37" s="62" t="str">
        <f>IF(OR(I37&gt;0,K37&gt;0),IF(I37&gt;K37,F37,H37),"leer")</f>
        <v>leer</v>
      </c>
      <c r="AZ37" s="62">
        <f>COUNTIF($AY$29:$AY$37,F32)</f>
        <v>0</v>
      </c>
      <c r="BA37" s="62">
        <f>COUNTIF($AY$29:$AY$37,H32)</f>
        <v>0</v>
      </c>
    </row>
    <row r="38" spans="1:56" ht="16.5">
      <c r="A38" s="144">
        <f t="shared" si="7"/>
        <v>162</v>
      </c>
      <c r="B38" s="144" t="s">
        <v>189</v>
      </c>
      <c r="C38" s="144">
        <v>1</v>
      </c>
      <c r="D38" s="145">
        <v>0.638888888888889</v>
      </c>
      <c r="E38" s="146" t="s">
        <v>213</v>
      </c>
      <c r="F38" s="144" t="str">
        <f>IF($I$27="","Gew. Spiel "&amp;A27,IF($I$27&gt;$K$27,$F$27,$H$27))</f>
        <v>Gew. Spiel 151</v>
      </c>
      <c r="G38" s="144" t="s">
        <v>43</v>
      </c>
      <c r="H38" s="144" t="str">
        <f>IF(K33="","Gew. Spiel "&amp;A33,IF($I$33&gt;$I$33,$F$33,$H$33))</f>
        <v>Gew. Spiel 157</v>
      </c>
      <c r="I38" s="147"/>
      <c r="J38" s="144" t="s">
        <v>43</v>
      </c>
      <c r="K38" s="147"/>
      <c r="L38" s="203" t="str">
        <f>IF(VLOOKUP(A38,Schiedsrichter!$A$3:$I$176,8,FALSE)=0,"-",VLOOKUP(A38,Schiedsrichter!$A$3:$I$176,8,FALSE))</f>
        <v>Verl. Playoff 1B</v>
      </c>
      <c r="M38" s="201" t="s">
        <v>249</v>
      </c>
      <c r="N38" s="206" t="str">
        <f>IF(VLOOKUP(A38,Schiedsrichter!$A$3:$I$176,9,FALSE)=0,"-",VLOOKUP(A38,Schiedsrichter!$A$3:$I$176,9,FALSE))</f>
        <v>Verl. Playoff 1C</v>
      </c>
      <c r="AD38" s="171" t="s">
        <v>11</v>
      </c>
      <c r="AE38" s="171" t="str">
        <f>IF(W57=2,Q57,IF(W56=2,Q56,"Gew. "&amp;E51))</f>
        <v>Gew. Finale /2</v>
      </c>
      <c r="BB38" s="62" t="s">
        <v>169</v>
      </c>
      <c r="BC38" s="62" t="s">
        <v>170</v>
      </c>
      <c r="BD38" s="62" t="s">
        <v>227</v>
      </c>
    </row>
    <row r="39" spans="1:56" ht="16.5">
      <c r="A39" s="34">
        <f t="shared" si="7"/>
        <v>163</v>
      </c>
      <c r="B39" s="34" t="s">
        <v>189</v>
      </c>
      <c r="C39" s="34">
        <v>1</v>
      </c>
      <c r="D39" s="35">
        <v>0.6666666666666667</v>
      </c>
      <c r="E39" s="43" t="s">
        <v>199</v>
      </c>
      <c r="F39" s="34" t="str">
        <f>IF(AND(AZ34&lt;2,BA34&lt;2),F29,"entfällt")</f>
        <v>Verl. Playoff 1A</v>
      </c>
      <c r="G39" s="34" t="s">
        <v>43</v>
      </c>
      <c r="H39" s="34" t="str">
        <f>IF(AND(AZ34&lt;2,BA34&lt;2),H29,"entfällt")</f>
        <v>Verl. Playoff 1D</v>
      </c>
      <c r="I39" s="36"/>
      <c r="J39" s="34" t="s">
        <v>43</v>
      </c>
      <c r="K39" s="36"/>
      <c r="L39" s="194" t="str">
        <f>IF(VLOOKUP(A39,Schiedsrichter!$A$3:$I$176,8,FALSE)=0,"-",VLOOKUP(A39,Schiedsrichter!$A$3:$I$176,8,FALSE))</f>
        <v>Gew. Playoff 1D</v>
      </c>
      <c r="M39" s="191" t="s">
        <v>249</v>
      </c>
      <c r="N39" s="197" t="str">
        <f>IF(VLOOKUP(A39,Schiedsrichter!$A$3:$I$176,9,FALSE)=0,"-",VLOOKUP(A39,Schiedsrichter!$A$3:$I$176,9,FALSE))</f>
        <v>Gew. Playoff 1A</v>
      </c>
      <c r="Z39" s="62">
        <f aca="true" t="shared" si="8" ref="Z39:Z44">IF($P39=1,IF($I39&gt;$K39,1,0),"")</f>
      </c>
      <c r="AA39" s="62">
        <f aca="true" t="shared" si="9" ref="AA39:AA44">IF($P39=1,$K39,"")</f>
      </c>
      <c r="AB39" s="62">
        <f t="shared" si="3"/>
      </c>
      <c r="AD39" s="171" t="s">
        <v>12</v>
      </c>
      <c r="AE39" s="171" t="str">
        <f>IF(W57=2,Q56,IF(W56=2,Q57,"Verl. "&amp;E51))</f>
        <v>Verl. Finale /2</v>
      </c>
      <c r="AY39" s="62" t="str">
        <f>IF(OR(I39&gt;0,K39&gt;0),IF(I39&gt;K39,F39,H39),"leer")</f>
        <v>leer</v>
      </c>
      <c r="AZ39" s="62">
        <f>COUNTIF($AY$29:$AY$42,F29)</f>
        <v>0</v>
      </c>
      <c r="BA39" s="62">
        <f>COUNTIF($AY$29:$AY$42,H29)</f>
        <v>0</v>
      </c>
      <c r="BB39" s="62" t="str">
        <f>IF(BD39="ja",IF(AZ39&gt;1,F29,H29),BI13)</f>
        <v>Gew. Playoff 2C</v>
      </c>
      <c r="BC39" s="62" t="str">
        <f>IF(BD39="ja",IF(AZ39&gt;1,H29,F29),BJ13)</f>
        <v>Verl. Playoff 2C</v>
      </c>
      <c r="BD39" s="62" t="str">
        <f>IF(OR(AZ39&gt;1,BA39&gt;1),"ja","nein")</f>
        <v>nein</v>
      </c>
    </row>
    <row r="40" spans="1:56" ht="16.5">
      <c r="A40" s="34">
        <f t="shared" si="7"/>
        <v>164</v>
      </c>
      <c r="B40" s="34" t="s">
        <v>189</v>
      </c>
      <c r="C40" s="34">
        <v>1</v>
      </c>
      <c r="D40" s="35">
        <v>0.6944444444444445</v>
      </c>
      <c r="E40" s="43" t="s">
        <v>200</v>
      </c>
      <c r="F40" s="34" t="str">
        <f>IF(AND(AZ35&lt;2,BA35&lt;2),F30,"entfällt")</f>
        <v>Verl. Playoff 1B</v>
      </c>
      <c r="G40" s="34" t="s">
        <v>43</v>
      </c>
      <c r="H40" s="34" t="str">
        <f>IF(AND(AZ35&lt;2,BA35&lt;2),H30,"entfällt")</f>
        <v>Verl. Playoff 1C</v>
      </c>
      <c r="I40" s="36"/>
      <c r="J40" s="34" t="s">
        <v>43</v>
      </c>
      <c r="K40" s="36"/>
      <c r="L40" s="194" t="str">
        <f>IF(VLOOKUP(A40,Schiedsrichter!$A$3:$I$176,8,FALSE)=0,"-",VLOOKUP(A40,Schiedsrichter!$A$3:$I$176,8,FALSE))</f>
        <v>Gew. Playoff 1B</v>
      </c>
      <c r="M40" s="191" t="s">
        <v>249</v>
      </c>
      <c r="N40" s="197" t="str">
        <f>IF(VLOOKUP(A40,Schiedsrichter!$A$3:$I$176,9,FALSE)=0,"-",VLOOKUP(A40,Schiedsrichter!$A$3:$I$176,9,FALSE))</f>
        <v>Gew. Playoff 1C</v>
      </c>
      <c r="Z40" s="62">
        <f t="shared" si="8"/>
      </c>
      <c r="AA40" s="62">
        <f t="shared" si="9"/>
      </c>
      <c r="AB40" s="62">
        <f t="shared" si="3"/>
      </c>
      <c r="AD40" s="171" t="s">
        <v>13</v>
      </c>
      <c r="AE40" s="171" t="str">
        <f>IF(W55=2,Q55,IF(W54=2,Q54,"Gew. "&amp;E49))</f>
        <v>Gew. 3. Platz /2</v>
      </c>
      <c r="AY40" s="62" t="str">
        <f>IF(OR(I40&gt;0,K40&gt;0),IF(I40&gt;K40,F40,H40),"leer")</f>
        <v>leer</v>
      </c>
      <c r="AZ40" s="62">
        <f>COUNTIF($AY$29:$AY$42,F30)</f>
        <v>0</v>
      </c>
      <c r="BA40" s="62">
        <f>COUNTIF($AY$29:$AY$42,H30)</f>
        <v>0</v>
      </c>
      <c r="BB40" s="62" t="str">
        <f>IF(BD40="ja",IF(AZ40&gt;1,F30,H30),BI14)</f>
        <v>Gew. Playoff 2D</v>
      </c>
      <c r="BC40" s="62" t="str">
        <f>IF(BD40="ja",IF(AZ40&gt;1,H30,F30),BJ14)</f>
        <v>Ver. Playoff 2D</v>
      </c>
      <c r="BD40" s="62" t="str">
        <f>IF(OR(AZ40&gt;1,BA40&gt;1),"ja","nein")</f>
        <v>nein</v>
      </c>
    </row>
    <row r="41" spans="1:56" ht="16.5">
      <c r="A41" s="34">
        <f t="shared" si="7"/>
        <v>165</v>
      </c>
      <c r="B41" s="34" t="s">
        <v>189</v>
      </c>
      <c r="C41" s="34">
        <v>1</v>
      </c>
      <c r="D41" s="35">
        <v>0.7222222222222223</v>
      </c>
      <c r="E41" s="43" t="s">
        <v>201</v>
      </c>
      <c r="F41" s="34" t="str">
        <f>IF(AND(AZ36&lt;2,BA36&lt;2),F31,"entfällt")</f>
        <v>Gew. Playoff 1A</v>
      </c>
      <c r="G41" s="34" t="s">
        <v>43</v>
      </c>
      <c r="H41" s="34" t="str">
        <f>IF(AND(AZ36&lt;2,BA36&lt;2),H31,"entfällt")</f>
        <v>Gew. Playoff 1D</v>
      </c>
      <c r="I41" s="36"/>
      <c r="J41" s="34" t="s">
        <v>43</v>
      </c>
      <c r="K41" s="36"/>
      <c r="L41" s="194" t="str">
        <f>IF(VLOOKUP(A41,Schiedsrichter!$A$3:$I$176,8,FALSE)=0,"-",VLOOKUP(A41,Schiedsrichter!$A$3:$I$176,8,FALSE))</f>
        <v>Verl. Playoff 1D</v>
      </c>
      <c r="M41" s="191" t="s">
        <v>249</v>
      </c>
      <c r="N41" s="197" t="str">
        <f>IF(VLOOKUP(A41,Schiedsrichter!$A$3:$I$176,9,FALSE)=0,"-",VLOOKUP(A41,Schiedsrichter!$A$3:$I$176,9,FALSE))</f>
        <v>Verl. Playoff 1A</v>
      </c>
      <c r="Z41" s="62">
        <f t="shared" si="8"/>
      </c>
      <c r="AA41" s="62">
        <f t="shared" si="9"/>
      </c>
      <c r="AB41" s="62">
        <f t="shared" si="3"/>
      </c>
      <c r="AD41" s="171" t="s">
        <v>14</v>
      </c>
      <c r="AE41" s="171" t="str">
        <f>IF(W55=2,Q54,IF(W54=2,Q55,"Verl. "&amp;E49))</f>
        <v>Verl. 3. Platz /2</v>
      </c>
      <c r="AL41" s="349"/>
      <c r="AM41" s="349"/>
      <c r="AN41" s="349"/>
      <c r="AO41" s="349"/>
      <c r="AY41" s="62" t="str">
        <f>IF(OR(I41&gt;0,K41&gt;0),IF(I41&gt;K41,F41,H41),"leer")</f>
        <v>leer</v>
      </c>
      <c r="AZ41" s="62">
        <f>COUNTIF($AY$29:$AY$42,F31)</f>
        <v>0</v>
      </c>
      <c r="BA41" s="62">
        <f>COUNTIF($AY$29:$AY$42,H31)</f>
        <v>0</v>
      </c>
      <c r="BB41" s="62" t="str">
        <f>IF(BD41="ja",IF(AZ41&gt;1,F31,H31),BI11)</f>
        <v>Gew. Playoff 2A</v>
      </c>
      <c r="BC41" s="62" t="str">
        <f>IF(BD41="ja",IF(AZ41&gt;1,H31,F31),BJ11)</f>
        <v>Verl. Playoff 2A</v>
      </c>
      <c r="BD41" s="62" t="str">
        <f>IF(OR(AZ41&gt;1,BA41&gt;1),"ja","nein")</f>
        <v>nein</v>
      </c>
    </row>
    <row r="42" spans="1:56" ht="16.5">
      <c r="A42" s="136">
        <f t="shared" si="7"/>
        <v>166</v>
      </c>
      <c r="B42" s="136" t="s">
        <v>189</v>
      </c>
      <c r="C42" s="136">
        <v>1</v>
      </c>
      <c r="D42" s="137">
        <v>0.7500000000000001</v>
      </c>
      <c r="E42" s="139" t="s">
        <v>202</v>
      </c>
      <c r="F42" s="136" t="str">
        <f>IF(AND(AZ37&lt;2,BA37&lt;2),F32,"entfällt")</f>
        <v>Gew. Playoff 1B</v>
      </c>
      <c r="G42" s="136" t="s">
        <v>43</v>
      </c>
      <c r="H42" s="136" t="str">
        <f>IF(AND(AZ37&lt;2,BA37&lt;2),H32,"entfällt")</f>
        <v>Gew. Playoff 1C</v>
      </c>
      <c r="I42" s="138"/>
      <c r="J42" s="136" t="s">
        <v>43</v>
      </c>
      <c r="K42" s="138"/>
      <c r="L42" s="204" t="str">
        <f>IF(VLOOKUP(A42,Schiedsrichter!$A$3:$I$176,8,FALSE)=0,"-",VLOOKUP(A42,Schiedsrichter!$A$3:$I$176,8,FALSE))</f>
        <v>Verl. Playoff 1C</v>
      </c>
      <c r="M42" s="199" t="s">
        <v>249</v>
      </c>
      <c r="N42" s="207" t="str">
        <f>IF(VLOOKUP(A42,Schiedsrichter!$A$3:$I$176,9,FALSE)=0,"-",VLOOKUP(A42,Schiedsrichter!$A$3:$I$176,9,FALSE))</f>
        <v>Verl. Playoff 1B</v>
      </c>
      <c r="Z42" s="62">
        <f t="shared" si="8"/>
      </c>
      <c r="AA42" s="62">
        <f t="shared" si="9"/>
      </c>
      <c r="AB42" s="62">
        <f t="shared" si="3"/>
      </c>
      <c r="AD42" s="171" t="s">
        <v>15</v>
      </c>
      <c r="AE42" s="171" t="str">
        <f>IF($I$44="","Gew. Spiel "&amp;A44,IF($K$44&lt;$I$44,$F$44,$H$44))</f>
        <v>Gew. Spiel 168</v>
      </c>
      <c r="AY42" s="62" t="str">
        <f>IF(OR(I42&gt;0,K42&gt;0),IF(I42&gt;K42,F42,H42),"leer")</f>
        <v>leer</v>
      </c>
      <c r="AZ42" s="62">
        <f>COUNTIF($AY$29:$AY$42,F32)</f>
        <v>0</v>
      </c>
      <c r="BA42" s="62">
        <f>COUNTIF($AY$29:$AY$42,H32)</f>
        <v>0</v>
      </c>
      <c r="BB42" s="62" t="str">
        <f>IF(BD42="ja",IF(AZ42&gt;1,F32,H32),BI12)</f>
        <v>Gew. Playoff 2B</v>
      </c>
      <c r="BC42" s="62" t="str">
        <f>IF(BD42="ja",IF(AZ42&gt;1,H32,F32),BJ12)</f>
        <v>Verl. Playoff 2B</v>
      </c>
      <c r="BD42" s="62" t="str">
        <f>IF(OR(AZ42&gt;1,BA42&gt;1),"ja","nein")</f>
        <v>nein</v>
      </c>
    </row>
    <row r="43" spans="1:31" ht="16.5">
      <c r="A43" s="136">
        <f>A42+1</f>
        <v>167</v>
      </c>
      <c r="B43" s="136" t="s">
        <v>189</v>
      </c>
      <c r="C43" s="136">
        <v>1</v>
      </c>
      <c r="D43" s="137">
        <v>0.7777777777777779</v>
      </c>
      <c r="E43" s="139" t="s">
        <v>211</v>
      </c>
      <c r="F43" s="136" t="str">
        <f>BC39</f>
        <v>Verl. Playoff 2C</v>
      </c>
      <c r="G43" s="136" t="s">
        <v>43</v>
      </c>
      <c r="H43" s="136" t="str">
        <f>BC40</f>
        <v>Ver. Playoff 2D</v>
      </c>
      <c r="I43" s="138"/>
      <c r="J43" s="136" t="s">
        <v>43</v>
      </c>
      <c r="K43" s="138"/>
      <c r="L43" s="204" t="str">
        <f>IF(VLOOKUP(A43,Schiedsrichter!$A$3:$I$176,8,FALSE)=0,"-",VLOOKUP(A43,Schiedsrichter!$A$3:$I$176,8,FALSE))</f>
        <v>Verl. Spiel 152</v>
      </c>
      <c r="M43" s="199" t="s">
        <v>249</v>
      </c>
      <c r="N43" s="207" t="str">
        <f>IF(VLOOKUP(A43,Schiedsrichter!$A$3:$I$176,9,FALSE)=0,"-",VLOOKUP(A43,Schiedsrichter!$A$3:$I$176,9,FALSE))</f>
        <v>Gew. Spiel 151</v>
      </c>
      <c r="Z43" s="62">
        <f t="shared" si="8"/>
      </c>
      <c r="AA43" s="62">
        <f t="shared" si="9"/>
      </c>
      <c r="AB43" s="62">
        <f t="shared" si="3"/>
      </c>
      <c r="AD43" s="171" t="s">
        <v>16</v>
      </c>
      <c r="AE43" s="171" t="str">
        <f>IF($I$44="","Verl. Spiel "&amp;A44,IF($K$44&gt;$I$44,$F$44,$H$44))</f>
        <v>Verl. Spiel 168</v>
      </c>
    </row>
    <row r="44" spans="1:31" ht="16.5">
      <c r="A44" s="34">
        <f>A43+1</f>
        <v>168</v>
      </c>
      <c r="B44" s="34" t="s">
        <v>189</v>
      </c>
      <c r="C44" s="34">
        <v>1</v>
      </c>
      <c r="D44" s="35">
        <v>0.8055555555555557</v>
      </c>
      <c r="E44" s="43" t="s">
        <v>209</v>
      </c>
      <c r="F44" s="34" t="str">
        <f>BB39</f>
        <v>Gew. Playoff 2C</v>
      </c>
      <c r="G44" s="34" t="s">
        <v>43</v>
      </c>
      <c r="H44" s="34" t="str">
        <f>BB40</f>
        <v>Gew. Playoff 2D</v>
      </c>
      <c r="I44" s="36"/>
      <c r="J44" s="34" t="s">
        <v>43</v>
      </c>
      <c r="K44" s="36"/>
      <c r="L44" s="194" t="str">
        <f>IF(VLOOKUP(A44,Schiedsrichter!$A$3:$I$176,8,FALSE)=0,"-",VLOOKUP(A44,Schiedsrichter!$A$3:$I$176,8,FALSE))</f>
        <v>Verl. Spiel 151</v>
      </c>
      <c r="M44" s="191" t="s">
        <v>249</v>
      </c>
      <c r="N44" s="197" t="str">
        <f>IF(VLOOKUP(A44,Schiedsrichter!$A$3:$I$176,9,FALSE)=0,"-",VLOOKUP(A44,Schiedsrichter!$A$3:$I$176,9,FALSE))</f>
        <v>Gew. Spiel 152</v>
      </c>
      <c r="Z44" s="62">
        <f t="shared" si="8"/>
      </c>
      <c r="AA44" s="62">
        <f t="shared" si="9"/>
      </c>
      <c r="AB44" s="62">
        <f t="shared" si="3"/>
      </c>
      <c r="AD44" s="171" t="s">
        <v>251</v>
      </c>
      <c r="AE44" s="171" t="str">
        <f>IF($I$43="","Gew. Spiel "&amp;A43,IF($K$43&lt;$I$43,$F$43,$H$43))</f>
        <v>Gew. Spiel 167</v>
      </c>
    </row>
    <row r="45" spans="1:31" ht="3.75" customHeight="1">
      <c r="A45" s="136"/>
      <c r="B45" s="136"/>
      <c r="C45" s="136"/>
      <c r="D45" s="137"/>
      <c r="E45" s="136"/>
      <c r="F45" s="136"/>
      <c r="G45" s="34"/>
      <c r="H45" s="136"/>
      <c r="I45" s="138"/>
      <c r="J45" s="136"/>
      <c r="K45" s="138"/>
      <c r="L45" s="139"/>
      <c r="M45" s="136"/>
      <c r="N45" s="139"/>
      <c r="AD45" s="171" t="s">
        <v>252</v>
      </c>
      <c r="AE45" s="171" t="str">
        <f>IF($I$43="","Verl. Spiel "&amp;A43,IF($K$43&gt;$I$43,$F$43,$H$43))</f>
        <v>Verl. Spiel 167</v>
      </c>
    </row>
    <row r="46" spans="1:31" ht="17.25">
      <c r="A46" s="355" t="str">
        <f>TEXT(((Saisondaten!$C$12)),"[$-F800]TTTT, MMMM TT, JJJJ")</f>
        <v>Sonntag, 16. September 2018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Z46" s="62">
        <f>IF($P46=1,IF($I46&gt;$K46,1,0),"")</f>
      </c>
      <c r="AA46" s="62">
        <f>IF($P46=1,$K46,"")</f>
      </c>
      <c r="AB46" s="62">
        <f t="shared" si="3"/>
      </c>
      <c r="AD46" s="171" t="s">
        <v>253</v>
      </c>
      <c r="AE46" s="171" t="str">
        <f>IF($I$38="","Gew. Spiel "&amp;A38,IF($K$38&lt;$I$38,$F$38,$H$38))</f>
        <v>Gew. Spiel 162</v>
      </c>
    </row>
    <row r="47" spans="1:31" ht="16.5">
      <c r="A47" s="144">
        <f>A44+1</f>
        <v>169</v>
      </c>
      <c r="B47" s="144" t="s">
        <v>189</v>
      </c>
      <c r="C47" s="144">
        <v>1</v>
      </c>
      <c r="D47" s="145">
        <v>0.3333333333333333</v>
      </c>
      <c r="E47" s="146" t="s">
        <v>238</v>
      </c>
      <c r="F47" s="144" t="str">
        <f>BC41</f>
        <v>Verl. Playoff 2A</v>
      </c>
      <c r="G47" s="144" t="s">
        <v>43</v>
      </c>
      <c r="H47" s="144" t="str">
        <f>BC42</f>
        <v>Verl. Playoff 2B</v>
      </c>
      <c r="I47" s="147"/>
      <c r="J47" s="144" t="s">
        <v>43</v>
      </c>
      <c r="K47" s="147"/>
      <c r="L47" s="203" t="str">
        <f>IF(VLOOKUP(A47,Schiedsrichter!$A$3:$I$176,8,FALSE)=0,"-",VLOOKUP(A47,Schiedsrichter!$A$3:$I$176,8,FALSE))</f>
        <v>Verl. Playoff 2C</v>
      </c>
      <c r="M47" s="201" t="s">
        <v>249</v>
      </c>
      <c r="N47" s="206" t="str">
        <f>IF(VLOOKUP(A47,Schiedsrichter!$A$3:$I$176,9,FALSE)=0,"-",VLOOKUP(A47,Schiedsrichter!$A$3:$I$176,9,FALSE))</f>
        <v>Gew. Playoff 2D</v>
      </c>
      <c r="Q47" s="62" t="str">
        <f>IF(I47&gt;K47,F47,IF(K47&gt;I47,H47,"keiner"))</f>
        <v>keiner</v>
      </c>
      <c r="W47" s="171" t="str">
        <f aca="true" t="shared" si="10" ref="W47:W52">IF(I47&gt;K47,F47,IF(K47&gt;I47,H47,"keiner"))</f>
        <v>keiner</v>
      </c>
      <c r="AD47" s="171" t="s">
        <v>254</v>
      </c>
      <c r="AE47" s="171" t="str">
        <f>IF($I$38="","Verl. Spiel "&amp;A38,IF($K$38&gt;$I$38,$F$38,$H$38))</f>
        <v>Verl. Spiel 162</v>
      </c>
    </row>
    <row r="48" spans="1:31" ht="16.5">
      <c r="A48" s="34">
        <f>A47+1</f>
        <v>170</v>
      </c>
      <c r="B48" s="34" t="s">
        <v>189</v>
      </c>
      <c r="C48" s="34">
        <v>1</v>
      </c>
      <c r="D48" s="35">
        <v>0.3888888888888889</v>
      </c>
      <c r="E48" s="43" t="s">
        <v>236</v>
      </c>
      <c r="F48" s="34" t="str">
        <f>BB41</f>
        <v>Gew. Playoff 2A</v>
      </c>
      <c r="G48" s="34" t="s">
        <v>43</v>
      </c>
      <c r="H48" s="34" t="str">
        <f>BB42</f>
        <v>Gew. Playoff 2B</v>
      </c>
      <c r="I48" s="36"/>
      <c r="J48" s="34" t="s">
        <v>43</v>
      </c>
      <c r="K48" s="36"/>
      <c r="L48" s="194" t="str">
        <f>IF(VLOOKUP(A48,Schiedsrichter!$A$3:$I$176,8,FALSE)=0,"-",VLOOKUP(A48,Schiedsrichter!$A$3:$I$176,8,FALSE))</f>
        <v>Gew. Playoff 2C</v>
      </c>
      <c r="M48" s="191" t="s">
        <v>249</v>
      </c>
      <c r="N48" s="197" t="str">
        <f>IF(VLOOKUP(A48,Schiedsrichter!$A$3:$I$176,9,FALSE)=0,"-",VLOOKUP(A48,Schiedsrichter!$A$3:$I$176,9,FALSE))</f>
        <v>Ver. Playoff 2D</v>
      </c>
      <c r="Q48" s="171" t="str">
        <f>IF(I48&gt;K48,F48,IF(K48&gt;I48,H48,"keiner"))</f>
        <v>keiner</v>
      </c>
      <c r="W48" s="171" t="str">
        <f t="shared" si="10"/>
        <v>keiner</v>
      </c>
      <c r="AD48" s="171" t="s">
        <v>255</v>
      </c>
      <c r="AE48" s="171" t="str">
        <f>IF($I$33="","Verl. Spiel "&amp;A33,IF($K$33&gt;$I$33,$F$33,$H$33))</f>
        <v>Verl. Spiel 157</v>
      </c>
    </row>
    <row r="49" spans="1:31" ht="16.5">
      <c r="A49" s="208">
        <f>A48+1</f>
        <v>171</v>
      </c>
      <c r="B49" s="208" t="s">
        <v>189</v>
      </c>
      <c r="C49" s="208">
        <v>1</v>
      </c>
      <c r="D49" s="209">
        <v>0.4166666666666667</v>
      </c>
      <c r="E49" s="210" t="s">
        <v>239</v>
      </c>
      <c r="F49" s="208" t="str">
        <f>BC41</f>
        <v>Verl. Playoff 2A</v>
      </c>
      <c r="G49" s="208" t="s">
        <v>43</v>
      </c>
      <c r="H49" s="208" t="str">
        <f>BC42</f>
        <v>Verl. Playoff 2B</v>
      </c>
      <c r="I49" s="211"/>
      <c r="J49" s="208" t="s">
        <v>43</v>
      </c>
      <c r="K49" s="211"/>
      <c r="L49" s="212" t="str">
        <f>IF(VLOOKUP(A49,Schiedsrichter!$A$3:$I$176,8,FALSE)=0,"-",VLOOKUP(A49,Schiedsrichter!$A$3:$I$176,8,FALSE))</f>
        <v>Gew. Spiel 151</v>
      </c>
      <c r="M49" s="213" t="s">
        <v>249</v>
      </c>
      <c r="N49" s="214" t="str">
        <f>IF(VLOOKUP(A49,Schiedsrichter!$A$3:$I$176,9,FALSE)=0,"-",VLOOKUP(A49,Schiedsrichter!$A$3:$I$176,9,FALSE))</f>
        <v>Verl. Spiel 152</v>
      </c>
      <c r="Q49" s="171" t="str">
        <f>IF(I49&gt;K49,F49,IF(K49&gt;I49,H49,"keiner"))</f>
        <v>keiner</v>
      </c>
      <c r="W49" s="171" t="str">
        <f t="shared" si="10"/>
        <v>keiner</v>
      </c>
      <c r="AD49" s="171" t="s">
        <v>256</v>
      </c>
      <c r="AE49" s="171" t="str">
        <f>IF('Playoff-Playdowns'!$I$28="","Verl. Spiel "&amp;'Playoff-Playdowns'!A28,IF('Playoff-Playdowns'!$K$28&gt;'Playoff-Playdowns'!$I$28,'Playoff-Playdowns'!$F$28,'Playoff-Playdowns'!$H$28))</f>
        <v>Verl. Spiel 152</v>
      </c>
    </row>
    <row r="50" spans="1:23" s="65" customFormat="1" ht="16.5">
      <c r="A50" s="208" t="str">
        <f>A49&amp;"a"</f>
        <v>171a</v>
      </c>
      <c r="B50" s="208" t="s">
        <v>189</v>
      </c>
      <c r="C50" s="208">
        <v>1</v>
      </c>
      <c r="D50" s="209">
        <v>0.4375</v>
      </c>
      <c r="E50" s="210" t="s">
        <v>246</v>
      </c>
      <c r="F50" s="208" t="str">
        <f>IF(AND($S$54&lt;2,$S$55&lt;2),F49,"entfällt")</f>
        <v>Verl. Playoff 2A</v>
      </c>
      <c r="G50" s="208" t="s">
        <v>43</v>
      </c>
      <c r="H50" s="208" t="str">
        <f>IF(AND($S$54&lt;2,$S$55&lt;2),H49,"entfällt")</f>
        <v>Verl. Playoff 2B</v>
      </c>
      <c r="I50" s="211"/>
      <c r="J50" s="208" t="s">
        <v>43</v>
      </c>
      <c r="K50" s="211"/>
      <c r="L50" s="212" t="str">
        <f>IF(VLOOKUP(A50,Schiedsrichter!$A$3:$I$176,8,FALSE)=0,"-",VLOOKUP(A50,Schiedsrichter!$A$3:$I$176,8,FALSE))</f>
        <v>Gew. Spiel 152</v>
      </c>
      <c r="M50" s="213" t="s">
        <v>249</v>
      </c>
      <c r="N50" s="214" t="str">
        <f>IF(VLOOKUP(A50,Schiedsrichter!$A$3:$I$176,9,FALSE)=0,"-",VLOOKUP(A50,Schiedsrichter!$A$3:$I$176,9,FALSE))</f>
        <v>Verl. Spiel 151</v>
      </c>
      <c r="Q50" s="171" t="s">
        <v>23</v>
      </c>
      <c r="W50" s="171" t="str">
        <f t="shared" si="10"/>
        <v>keiner</v>
      </c>
    </row>
    <row r="51" spans="1:23" ht="16.5">
      <c r="A51" s="136">
        <f>A49+1</f>
        <v>172</v>
      </c>
      <c r="B51" s="136" t="s">
        <v>189</v>
      </c>
      <c r="C51" s="136">
        <v>1</v>
      </c>
      <c r="D51" s="137">
        <v>0.5555555555555556</v>
      </c>
      <c r="E51" s="139" t="s">
        <v>237</v>
      </c>
      <c r="F51" s="136" t="str">
        <f>BB41</f>
        <v>Gew. Playoff 2A</v>
      </c>
      <c r="G51" s="136" t="s">
        <v>43</v>
      </c>
      <c r="H51" s="136" t="str">
        <f>BB42</f>
        <v>Gew. Playoff 2B</v>
      </c>
      <c r="I51" s="138"/>
      <c r="J51" s="136" t="s">
        <v>43</v>
      </c>
      <c r="K51" s="138"/>
      <c r="L51" s="204" t="str">
        <f>IF(VLOOKUP(A51,Schiedsrichter!$A$3:$I$176,8,FALSE)=0,"-",VLOOKUP(A51,Schiedsrichter!$A$3:$I$176,8,FALSE))</f>
        <v>Gew. Playoff 2D</v>
      </c>
      <c r="M51" s="199" t="s">
        <v>249</v>
      </c>
      <c r="N51" s="207" t="str">
        <f>IF(VLOOKUP(A51,Schiedsrichter!$A$3:$I$176,9,FALSE)=0,"-",VLOOKUP(A51,Schiedsrichter!$A$3:$I$176,9,FALSE))</f>
        <v>Ver. Playoff 2D</v>
      </c>
      <c r="O51" s="7"/>
      <c r="Q51" s="171" t="str">
        <f>IF(I51&gt;K51,F51,IF(K51&gt;I51,H51,"keiner"))</f>
        <v>keiner</v>
      </c>
      <c r="W51" s="171" t="str">
        <f t="shared" si="10"/>
        <v>keiner</v>
      </c>
    </row>
    <row r="52" spans="1:23" s="65" customFormat="1" ht="16.5">
      <c r="A52" s="136" t="str">
        <f>A51&amp;"a"</f>
        <v>172a</v>
      </c>
      <c r="B52" s="136" t="s">
        <v>189</v>
      </c>
      <c r="C52" s="136">
        <v>1</v>
      </c>
      <c r="D52" s="137">
        <v>0.5833333333333334</v>
      </c>
      <c r="E52" s="139" t="s">
        <v>247</v>
      </c>
      <c r="F52" s="136" t="str">
        <f>IF(AND($S$56&lt;2,$S$57&lt;2),F51,"entfällt")</f>
        <v>Gew. Playoff 2A</v>
      </c>
      <c r="G52" s="136" t="s">
        <v>43</v>
      </c>
      <c r="H52" s="136" t="str">
        <f>IF(AND($S$56&lt;2,$S$57&lt;2),H51,"entfällt")</f>
        <v>Gew. Playoff 2B</v>
      </c>
      <c r="I52" s="138"/>
      <c r="J52" s="136" t="s">
        <v>43</v>
      </c>
      <c r="K52" s="138"/>
      <c r="L52" s="204" t="str">
        <f>IF(VLOOKUP(A52,Schiedsrichter!$A$3:$I$176,8,FALSE)=0,"-",VLOOKUP(A52,Schiedsrichter!$A$3:$I$176,8,FALSE))</f>
        <v>Gew. Playoff 2C</v>
      </c>
      <c r="M52" s="199" t="s">
        <v>249</v>
      </c>
      <c r="N52" s="207" t="str">
        <f>IF(VLOOKUP(A52,Schiedsrichter!$A$3:$I$176,9,FALSE)=0,"-",VLOOKUP(A52,Schiedsrichter!$A$3:$I$176,9,FALSE))</f>
        <v>Verl. Playoff 2C</v>
      </c>
      <c r="O52" s="7"/>
      <c r="Q52" s="171" t="s">
        <v>23</v>
      </c>
      <c r="W52" s="171" t="str">
        <f t="shared" si="10"/>
        <v>keiner</v>
      </c>
    </row>
    <row r="53" spans="1:15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23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62" t="str">
        <f>F47</f>
        <v>Verl. Playoff 2A</v>
      </c>
      <c r="S54" s="62">
        <f>COUNTIF($Q$47:$Q$52,Q54)</f>
        <v>0</v>
      </c>
      <c r="W54" s="171">
        <f>COUNTIF($W$47:$W$52,Q54)</f>
        <v>0</v>
      </c>
    </row>
    <row r="55" spans="17:23" ht="16.5">
      <c r="Q55" s="62" t="str">
        <f>H47</f>
        <v>Verl. Playoff 2B</v>
      </c>
      <c r="S55" s="171">
        <f>COUNTIF($Q$47:$Q$52,Q55)</f>
        <v>0</v>
      </c>
      <c r="W55" s="171">
        <f>COUNTIF($W$47:$W$52,Q55)</f>
        <v>0</v>
      </c>
    </row>
    <row r="56" spans="17:23" ht="16.5">
      <c r="Q56" s="62" t="str">
        <f>F48</f>
        <v>Gew. Playoff 2A</v>
      </c>
      <c r="S56" s="171">
        <f>COUNTIF($Q$47:$Q$52,Q56)</f>
        <v>0</v>
      </c>
      <c r="W56" s="171">
        <f>COUNTIF($W$47:$W$52,Q56)</f>
        <v>0</v>
      </c>
    </row>
    <row r="57" spans="17:23" ht="16.5">
      <c r="Q57" s="62" t="str">
        <f>H48</f>
        <v>Gew. Playoff 2B</v>
      </c>
      <c r="S57" s="171">
        <f>COUNTIF($Q$47:$Q$52,Q57)</f>
        <v>0</v>
      </c>
      <c r="W57" s="171">
        <f>COUNTIF($W$47:$W$52,Q57)</f>
        <v>0</v>
      </c>
    </row>
  </sheetData>
  <sheetProtection sheet="1" selectLockedCells="1"/>
  <mergeCells count="9">
    <mergeCell ref="A26:N26"/>
    <mergeCell ref="AL41:AO41"/>
    <mergeCell ref="A46:N46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scale="93" r:id="rId2"/>
  <headerFooter>
    <oddFooter>&amp;L&amp;"Century Gothic,Standard"&amp;12bundesliga.kanupolo.de&amp;R&amp;"Century Gothic,Standard"&amp;12Stand:  &amp;D, &amp;T</oddFooter>
  </headerFooter>
  <rowBreaks count="1" manualBreakCount="1">
    <brk id="2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3:T18"/>
  <sheetViews>
    <sheetView showGridLines="0" showRowColHeaders="0" zoomScalePageLayoutView="0" workbookViewId="0" topLeftCell="A1">
      <selection activeCell="O7" sqref="O7"/>
    </sheetView>
  </sheetViews>
  <sheetFormatPr defaultColWidth="11.421875" defaultRowHeight="15"/>
  <cols>
    <col min="1" max="1" width="11.421875" style="62" customWidth="1"/>
    <col min="2" max="2" width="7.28125" style="62" bestFit="1" customWidth="1"/>
    <col min="3" max="3" width="22.421875" style="62" customWidth="1"/>
    <col min="4" max="4" width="9.421875" style="62" customWidth="1"/>
    <col min="5" max="7" width="6.00390625" style="62" customWidth="1"/>
    <col min="8" max="8" width="2.140625" style="62" customWidth="1"/>
    <col min="9" max="9" width="4.7109375" style="62" customWidth="1"/>
    <col min="10" max="10" width="2.00390625" style="62" bestFit="1" customWidth="1"/>
    <col min="11" max="11" width="4.7109375" style="62" customWidth="1"/>
    <col min="12" max="12" width="12.140625" style="62" customWidth="1"/>
    <col min="13" max="13" width="12.57421875" style="62" customWidth="1"/>
    <col min="14" max="14" width="11.421875" style="62" customWidth="1"/>
    <col min="15" max="15" width="16.57421875" style="62" bestFit="1" customWidth="1"/>
    <col min="16" max="16" width="2.8515625" style="62" customWidth="1"/>
    <col min="17" max="17" width="16.57421875" style="62" bestFit="1" customWidth="1"/>
    <col min="18" max="20" width="0" style="62" hidden="1" customWidth="1"/>
    <col min="21" max="16384" width="11.421875" style="62" customWidth="1"/>
  </cols>
  <sheetData>
    <row r="2" ht="16.5"/>
    <row r="3" spans="2:14" ht="26.25">
      <c r="B3" s="351" t="str">
        <f>"Kanupolo Bundesliga "&amp;Saisondaten!$B$3&amp;""</f>
        <v>Kanupolo Bundesliga 2018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28"/>
    </row>
    <row r="4" ht="7.5" customHeight="1"/>
    <row r="5" spans="2:13" ht="18">
      <c r="B5" s="352" t="s">
        <v>244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2:13" ht="18">
      <c r="B6" s="356" t="s">
        <v>44</v>
      </c>
      <c r="C6" s="352" t="s">
        <v>45</v>
      </c>
      <c r="D6" s="356" t="s">
        <v>46</v>
      </c>
      <c r="E6" s="352" t="s">
        <v>54</v>
      </c>
      <c r="F6" s="352" t="s">
        <v>47</v>
      </c>
      <c r="G6" s="352" t="s">
        <v>53</v>
      </c>
      <c r="H6" s="48"/>
      <c r="I6" s="358" t="s">
        <v>49</v>
      </c>
      <c r="J6" s="358"/>
      <c r="K6" s="358"/>
      <c r="L6" s="358"/>
      <c r="M6" s="356" t="s">
        <v>48</v>
      </c>
    </row>
    <row r="7" spans="2:20" ht="18">
      <c r="B7" s="356"/>
      <c r="C7" s="352"/>
      <c r="D7" s="356"/>
      <c r="E7" s="352"/>
      <c r="F7" s="352"/>
      <c r="G7" s="352"/>
      <c r="H7" s="48"/>
      <c r="I7" s="26" t="s">
        <v>50</v>
      </c>
      <c r="J7" s="26" t="s">
        <v>43</v>
      </c>
      <c r="K7" s="26" t="s">
        <v>23</v>
      </c>
      <c r="L7" s="27" t="s">
        <v>51</v>
      </c>
      <c r="M7" s="357"/>
      <c r="O7" s="87"/>
      <c r="R7" s="62">
        <v>1</v>
      </c>
      <c r="T7" s="62" t="e">
        <f>VLOOKUP(O7,Q7:R13,2,FALSE)</f>
        <v>#N/A</v>
      </c>
    </row>
    <row r="8" spans="2:20" ht="16.5">
      <c r="B8" s="40">
        <v>1</v>
      </c>
      <c r="C8" s="29" t="str">
        <f>VLOOKUP($B8,'Playoff-Playdowns'!$AD$19:$AJ$22,2,FALSE)</f>
        <v>12. Platz</v>
      </c>
      <c r="D8" s="40">
        <f>E8+F8+G8</f>
        <v>0</v>
      </c>
      <c r="E8" s="49">
        <f>VLOOKUP($B8,'Playoff-Playdowns'!$AD$19:$AJ$22,3,FALSE)</f>
        <v>0</v>
      </c>
      <c r="F8" s="49">
        <f>VLOOKUP($B8,'Playoff-Playdowns'!$AD$19:$AJ$22,4,FALSE)</f>
        <v>0</v>
      </c>
      <c r="G8" s="49">
        <f>VLOOKUP($B8,'Playoff-Playdowns'!$AD$19:$AJ$22,5,FALSE)</f>
        <v>0</v>
      </c>
      <c r="H8" s="49"/>
      <c r="I8" s="49">
        <f>VLOOKUP($B8,'Playoff-Playdowns'!$AD$19:$AJ$22,6,FALSE)</f>
        <v>0</v>
      </c>
      <c r="J8" s="49" t="s">
        <v>43</v>
      </c>
      <c r="K8" s="49">
        <f>VLOOKUP($B8,'Playoff-Playdowns'!$AD$19:$AJ$22,7,FALSE)</f>
        <v>0</v>
      </c>
      <c r="L8" s="49">
        <f>I8-K8</f>
        <v>0</v>
      </c>
      <c r="M8" s="40">
        <f>E8*3+F8*1</f>
        <v>0</v>
      </c>
      <c r="R8" s="62">
        <f aca="true" t="shared" si="0" ref="R8:R13">R7+12</f>
        <v>13</v>
      </c>
      <c r="T8" s="62" t="e">
        <f>T7+1</f>
        <v>#N/A</v>
      </c>
    </row>
    <row r="9" spans="2:20" ht="16.5">
      <c r="B9" s="41">
        <v>2</v>
      </c>
      <c r="C9" s="30" t="str">
        <f>VLOOKUP($B9,'Playoff-Playdowns'!$AD$19:$AJ$22,2,FALSE)</f>
        <v>11. Platz</v>
      </c>
      <c r="D9" s="41">
        <f>E9+F9+G9</f>
        <v>0</v>
      </c>
      <c r="E9" s="7">
        <f>VLOOKUP($B9,'Playoff-Playdowns'!$AD$19:$AJ$22,3,FALSE)</f>
        <v>0</v>
      </c>
      <c r="F9" s="7">
        <f>VLOOKUP($B9,'Playoff-Playdowns'!$AD$19:$AJ$22,4,FALSE)</f>
        <v>0</v>
      </c>
      <c r="G9" s="7">
        <f>VLOOKUP($B9,'Playoff-Playdowns'!$AD$19:$AJ$22,5,FALSE)</f>
        <v>0</v>
      </c>
      <c r="H9" s="7"/>
      <c r="I9" s="7">
        <f>VLOOKUP($B9,'Playoff-Playdowns'!$AD$19:$AJ$22,6,FALSE)</f>
        <v>0</v>
      </c>
      <c r="J9" s="7" t="s">
        <v>43</v>
      </c>
      <c r="K9" s="7">
        <f>VLOOKUP($B9,'Playoff-Playdowns'!$AD$19:$AJ$22,7,FALSE)</f>
        <v>0</v>
      </c>
      <c r="L9" s="7">
        <f>I9-K9</f>
        <v>0</v>
      </c>
      <c r="M9" s="41">
        <f>E9*3+F9*1</f>
        <v>0</v>
      </c>
      <c r="R9" s="62">
        <f t="shared" si="0"/>
        <v>25</v>
      </c>
      <c r="T9" s="62" t="e">
        <f aca="true" t="shared" si="1" ref="T9:T18">T8+1</f>
        <v>#N/A</v>
      </c>
    </row>
    <row r="10" spans="2:20" ht="16.5">
      <c r="B10" s="41">
        <v>3</v>
      </c>
      <c r="C10" s="30" t="str">
        <f>VLOOKUP($B10,'Playoff-Playdowns'!$AD$19:$AJ$22,2,FALSE)</f>
        <v>10. Platz</v>
      </c>
      <c r="D10" s="41">
        <f>E10+F10+G10</f>
        <v>0</v>
      </c>
      <c r="E10" s="7">
        <f>VLOOKUP($B10,'Playoff-Playdowns'!$AD$19:$AJ$22,3,FALSE)</f>
        <v>0</v>
      </c>
      <c r="F10" s="7">
        <f>VLOOKUP($B10,'Playoff-Playdowns'!$AD$19:$AJ$22,4,FALSE)</f>
        <v>0</v>
      </c>
      <c r="G10" s="7">
        <f>VLOOKUP($B10,'Playoff-Playdowns'!$AD$19:$AJ$22,5,FALSE)</f>
        <v>0</v>
      </c>
      <c r="H10" s="7"/>
      <c r="I10" s="7">
        <f>VLOOKUP($B10,'Playoff-Playdowns'!$AD$19:$AJ$22,6,FALSE)</f>
        <v>0</v>
      </c>
      <c r="J10" s="7" t="s">
        <v>43</v>
      </c>
      <c r="K10" s="7">
        <f>VLOOKUP($B10,'Playoff-Playdowns'!$AD$19:$AJ$22,7,FALSE)</f>
        <v>0</v>
      </c>
      <c r="L10" s="7">
        <f>I10-K10</f>
        <v>0</v>
      </c>
      <c r="M10" s="41">
        <f>E10*3+F10*1</f>
        <v>0</v>
      </c>
      <c r="R10" s="62">
        <f t="shared" si="0"/>
        <v>37</v>
      </c>
      <c r="T10" s="62" t="e">
        <f t="shared" si="1"/>
        <v>#N/A</v>
      </c>
    </row>
    <row r="11" spans="2:20" ht="16.5">
      <c r="B11" s="42">
        <v>4</v>
      </c>
      <c r="C11" s="25" t="str">
        <f>VLOOKUP($B11,'Playoff-Playdowns'!$AD$19:$AJ$22,2,FALSE)</f>
        <v>9. Platz</v>
      </c>
      <c r="D11" s="42">
        <f>E11+F11+G11</f>
        <v>0</v>
      </c>
      <c r="E11" s="7">
        <f>VLOOKUP($B11,'Playoff-Playdowns'!$AD$19:$AJ$22,3,FALSE)</f>
        <v>0</v>
      </c>
      <c r="F11" s="7">
        <f>VLOOKUP($B11,'Playoff-Playdowns'!$AD$19:$AJ$22,4,FALSE)</f>
        <v>0</v>
      </c>
      <c r="G11" s="7">
        <f>VLOOKUP($B11,'Playoff-Playdowns'!$AD$19:$AJ$22,5,FALSE)</f>
        <v>0</v>
      </c>
      <c r="I11" s="62">
        <f>VLOOKUP($B11,'Playoff-Playdowns'!$AD$19:$AJ$22,6,FALSE)</f>
        <v>0</v>
      </c>
      <c r="J11" s="62" t="s">
        <v>43</v>
      </c>
      <c r="K11" s="62">
        <f>VLOOKUP($B11,'Playoff-Playdowns'!$AD$19:$AJ$22,7,FALSE)</f>
        <v>0</v>
      </c>
      <c r="L11" s="62">
        <f>I11-K11</f>
        <v>0</v>
      </c>
      <c r="M11" s="42">
        <f>E11*3+F11*1</f>
        <v>0</v>
      </c>
      <c r="R11" s="62">
        <f t="shared" si="0"/>
        <v>49</v>
      </c>
      <c r="T11" s="62" t="e">
        <f t="shared" si="1"/>
        <v>#N/A</v>
      </c>
    </row>
    <row r="12" spans="18:20" ht="16.5">
      <c r="R12" s="62">
        <f t="shared" si="0"/>
        <v>61</v>
      </c>
      <c r="T12" s="62" t="e">
        <f t="shared" si="1"/>
        <v>#N/A</v>
      </c>
    </row>
    <row r="13" spans="18:20" ht="16.5">
      <c r="R13" s="62">
        <f t="shared" si="0"/>
        <v>73</v>
      </c>
      <c r="T13" s="62" t="e">
        <f t="shared" si="1"/>
        <v>#N/A</v>
      </c>
    </row>
    <row r="14" ht="16.5">
      <c r="T14" s="62" t="e">
        <f t="shared" si="1"/>
        <v>#N/A</v>
      </c>
    </row>
    <row r="15" ht="16.5">
      <c r="T15" s="62" t="e">
        <f t="shared" si="1"/>
        <v>#N/A</v>
      </c>
    </row>
    <row r="16" ht="16.5">
      <c r="T16" s="62" t="e">
        <f t="shared" si="1"/>
        <v>#N/A</v>
      </c>
    </row>
    <row r="17" ht="16.5">
      <c r="T17" s="62" t="e">
        <f t="shared" si="1"/>
        <v>#N/A</v>
      </c>
    </row>
    <row r="18" ht="16.5">
      <c r="T18" s="62" t="e">
        <f t="shared" si="1"/>
        <v>#N/A</v>
      </c>
    </row>
  </sheetData>
  <sheetProtection sheet="1" objects="1" scenarios="1" selectLockedCells="1"/>
  <mergeCells count="10">
    <mergeCell ref="M6:M7"/>
    <mergeCell ref="B3:M3"/>
    <mergeCell ref="B5:M5"/>
    <mergeCell ref="B6:B7"/>
    <mergeCell ref="C6:C7"/>
    <mergeCell ref="D6:D7"/>
    <mergeCell ref="E6:E7"/>
    <mergeCell ref="F6:F7"/>
    <mergeCell ref="G6:G7"/>
    <mergeCell ref="I6:L6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34"/>
  <sheetViews>
    <sheetView showGridLines="0" showRowColHeaders="0" zoomScale="70" zoomScaleNormal="70" zoomScalePageLayoutView="0" workbookViewId="0" topLeftCell="A1">
      <selection activeCell="K21" sqref="K21"/>
    </sheetView>
  </sheetViews>
  <sheetFormatPr defaultColWidth="11.421875" defaultRowHeight="15"/>
  <cols>
    <col min="1" max="1" width="18.28125" style="102" bestFit="1" customWidth="1"/>
    <col min="2" max="3" width="11.421875" style="102" customWidth="1"/>
    <col min="4" max="4" width="20.8515625" style="102" customWidth="1"/>
    <col min="5" max="5" width="2.00390625" style="102" customWidth="1"/>
    <col min="6" max="6" width="21.57421875" style="102" customWidth="1"/>
    <col min="7" max="7" width="8.7109375" style="102" customWidth="1"/>
    <col min="8" max="8" width="19.140625" style="102" customWidth="1"/>
    <col min="9" max="9" width="1.28515625" style="102" customWidth="1"/>
    <col min="10" max="10" width="18.7109375" style="102" customWidth="1"/>
    <col min="11" max="11" width="8.7109375" style="102" customWidth="1"/>
    <col min="12" max="12" width="18.7109375" style="102" customWidth="1"/>
    <col min="13" max="13" width="1.421875" style="102" customWidth="1"/>
    <col min="14" max="14" width="18.7109375" style="102" customWidth="1"/>
    <col min="15" max="15" width="17.7109375" style="102" customWidth="1"/>
    <col min="16" max="16384" width="11.421875" style="102" customWidth="1"/>
  </cols>
  <sheetData>
    <row r="1" spans="1:4" ht="20.25" customHeight="1">
      <c r="A1" s="368" t="s">
        <v>139</v>
      </c>
      <c r="B1" s="368"/>
      <c r="C1" s="368"/>
      <c r="D1" s="112" t="s">
        <v>140</v>
      </c>
    </row>
    <row r="2" spans="1:4" ht="17.25">
      <c r="A2" s="368"/>
      <c r="B2" s="368"/>
      <c r="C2" s="368"/>
      <c r="D2" s="112" t="s">
        <v>141</v>
      </c>
    </row>
    <row r="3" spans="1:4" ht="17.25">
      <c r="A3" s="368"/>
      <c r="B3" s="368"/>
      <c r="C3" s="368"/>
      <c r="D3" s="112" t="s">
        <v>142</v>
      </c>
    </row>
    <row r="7" spans="4:14" ht="20.25">
      <c r="D7" s="376" t="s">
        <v>172</v>
      </c>
      <c r="E7" s="376"/>
      <c r="F7" s="376"/>
      <c r="H7" s="376" t="s">
        <v>173</v>
      </c>
      <c r="I7" s="376"/>
      <c r="J7" s="376"/>
      <c r="L7" s="376" t="s">
        <v>171</v>
      </c>
      <c r="M7" s="376"/>
      <c r="N7" s="376"/>
    </row>
    <row r="8" spans="1:14" ht="37.5" customHeight="1" thickBot="1">
      <c r="A8" s="122" t="str">
        <f>'Playoff-Playdowns'!BG8</f>
        <v>1. Platz</v>
      </c>
      <c r="D8" s="362" t="s">
        <v>143</v>
      </c>
      <c r="E8" s="362"/>
      <c r="F8" s="362"/>
      <c r="H8" s="362" t="s">
        <v>144</v>
      </c>
      <c r="I8" s="362"/>
      <c r="J8" s="362"/>
      <c r="L8" s="363" t="s">
        <v>145</v>
      </c>
      <c r="M8" s="363"/>
      <c r="N8" s="363"/>
    </row>
    <row r="9" spans="1:15" ht="37.5" customHeight="1" thickBot="1">
      <c r="A9" s="122" t="str">
        <f>'Playoff-Playdowns'!BG9</f>
        <v>2. Platz</v>
      </c>
      <c r="D9" s="129" t="str">
        <f>A8</f>
        <v>1. Platz</v>
      </c>
      <c r="E9" s="130" t="s">
        <v>43</v>
      </c>
      <c r="F9" s="131" t="str">
        <f>A15</f>
        <v>8. Platz</v>
      </c>
      <c r="G9" s="111"/>
      <c r="H9" s="129" t="str">
        <f>'Playoff-Playdowns'!BB20</f>
        <v>Gew. Playoff 1A</v>
      </c>
      <c r="I9" s="130" t="s">
        <v>43</v>
      </c>
      <c r="J9" s="132" t="str">
        <f>'Playoff-Playdowns'!BB24</f>
        <v>Gew. Playoff 1D</v>
      </c>
      <c r="K9" s="111"/>
      <c r="L9" s="129" t="str">
        <f>'Playoff-Playdowns'!BB41</f>
        <v>Gew. Playoff 2A</v>
      </c>
      <c r="M9" s="130" t="s">
        <v>43</v>
      </c>
      <c r="N9" s="132" t="str">
        <f>'Playoff-Playdowns'!BB42</f>
        <v>Gew. Playoff 2B</v>
      </c>
      <c r="O9" s="113" t="s">
        <v>146</v>
      </c>
    </row>
    <row r="10" spans="1:15" ht="37.5" customHeight="1" thickBot="1">
      <c r="A10" s="122" t="str">
        <f>'Playoff-Playdowns'!BG10</f>
        <v>3. Platz</v>
      </c>
      <c r="D10" s="362" t="s">
        <v>147</v>
      </c>
      <c r="E10" s="362"/>
      <c r="F10" s="362"/>
      <c r="H10" s="362" t="s">
        <v>148</v>
      </c>
      <c r="I10" s="362"/>
      <c r="J10" s="362"/>
      <c r="L10" s="363" t="s">
        <v>149</v>
      </c>
      <c r="M10" s="363"/>
      <c r="N10" s="363"/>
      <c r="O10" s="103"/>
    </row>
    <row r="11" spans="1:15" ht="37.5" customHeight="1" thickBot="1">
      <c r="A11" s="122" t="str">
        <f>'Playoff-Playdowns'!BG11</f>
        <v>4. Platz</v>
      </c>
      <c r="D11" s="129" t="str">
        <f>A9</f>
        <v>2. Platz</v>
      </c>
      <c r="E11" s="130" t="s">
        <v>43</v>
      </c>
      <c r="F11" s="131" t="str">
        <f>A14</f>
        <v>7. Platz</v>
      </c>
      <c r="G11" s="111"/>
      <c r="H11" s="129" t="str">
        <f>'Playoff-Playdowns'!BB21</f>
        <v>Gew. Playoff 1B</v>
      </c>
      <c r="I11" s="130" t="s">
        <v>43</v>
      </c>
      <c r="J11" s="132" t="str">
        <f>'Playoff-Playdowns'!BB23</f>
        <v>Gew. Playoff 1C</v>
      </c>
      <c r="K11" s="111"/>
      <c r="L11" s="133" t="str">
        <f>'Playoff-Playdowns'!BC41</f>
        <v>Verl. Playoff 2A</v>
      </c>
      <c r="M11" s="134" t="s">
        <v>43</v>
      </c>
      <c r="N11" s="135" t="str">
        <f>'Playoff-Playdowns'!BC42</f>
        <v>Verl. Playoff 2B</v>
      </c>
      <c r="O11" s="113" t="s">
        <v>150</v>
      </c>
    </row>
    <row r="12" spans="1:15" ht="37.5" customHeight="1" thickBot="1">
      <c r="A12" s="122" t="str">
        <f>'Playoff-Playdowns'!BG12</f>
        <v>5. Platz</v>
      </c>
      <c r="D12" s="362" t="s">
        <v>151</v>
      </c>
      <c r="E12" s="362"/>
      <c r="F12" s="362"/>
      <c r="H12" s="364" t="s">
        <v>152</v>
      </c>
      <c r="I12" s="364"/>
      <c r="J12" s="364"/>
      <c r="L12" s="364" t="s">
        <v>153</v>
      </c>
      <c r="M12" s="364"/>
      <c r="N12" s="364"/>
      <c r="O12" s="103"/>
    </row>
    <row r="13" spans="1:15" ht="37.5" customHeight="1" thickBot="1">
      <c r="A13" s="122" t="str">
        <f>'Playoff-Playdowns'!BG13</f>
        <v>6. Platz</v>
      </c>
      <c r="D13" s="129" t="str">
        <f>A10</f>
        <v>3. Platz</v>
      </c>
      <c r="E13" s="130" t="s">
        <v>43</v>
      </c>
      <c r="F13" s="131" t="str">
        <f>A13</f>
        <v>6. Platz</v>
      </c>
      <c r="G13" s="111"/>
      <c r="H13" s="133" t="str">
        <f>'Playoff-Playdowns'!BC20</f>
        <v>Verl. Playoff 1A</v>
      </c>
      <c r="I13" s="134" t="s">
        <v>43</v>
      </c>
      <c r="J13" s="135" t="str">
        <f>'Playoff-Playdowns'!BC24</f>
        <v>Verl. Playoff 1D</v>
      </c>
      <c r="K13" s="111"/>
      <c r="L13" s="133" t="str">
        <f>'Playoff-Playdowns'!BB39</f>
        <v>Gew. Playoff 2C</v>
      </c>
      <c r="M13" s="134" t="s">
        <v>43</v>
      </c>
      <c r="N13" s="135" t="str">
        <f>'Playoff-Playdowns'!BB40</f>
        <v>Gew. Playoff 2D</v>
      </c>
      <c r="O13" s="113" t="s">
        <v>154</v>
      </c>
    </row>
    <row r="14" spans="1:15" ht="37.5" customHeight="1" thickBot="1">
      <c r="A14" s="122" t="str">
        <f>'Playoff-Playdowns'!BG14</f>
        <v>7. Platz</v>
      </c>
      <c r="D14" s="362" t="s">
        <v>155</v>
      </c>
      <c r="E14" s="362"/>
      <c r="F14" s="362"/>
      <c r="H14" s="364" t="s">
        <v>156</v>
      </c>
      <c r="I14" s="364"/>
      <c r="J14" s="364"/>
      <c r="L14" s="364" t="s">
        <v>157</v>
      </c>
      <c r="M14" s="364"/>
      <c r="N14" s="364"/>
      <c r="O14" s="103"/>
    </row>
    <row r="15" spans="1:15" ht="37.5" customHeight="1" thickBot="1">
      <c r="A15" s="122" t="str">
        <f>'Playoff-Playdowns'!BG15</f>
        <v>8. Platz</v>
      </c>
      <c r="D15" s="129" t="str">
        <f>A11</f>
        <v>4. Platz</v>
      </c>
      <c r="E15" s="130" t="s">
        <v>43</v>
      </c>
      <c r="F15" s="131" t="str">
        <f>A12</f>
        <v>5. Platz</v>
      </c>
      <c r="G15" s="111"/>
      <c r="H15" s="133" t="str">
        <f>'Playoff-Playdowns'!BC21</f>
        <v>Verl. Playoff 1B</v>
      </c>
      <c r="I15" s="134" t="s">
        <v>43</v>
      </c>
      <c r="J15" s="135" t="str">
        <f>'Playoff-Playdowns'!BC23</f>
        <v>Verl. Playoff 1C</v>
      </c>
      <c r="K15" s="111"/>
      <c r="L15" s="133" t="str">
        <f>'Playoff-Playdowns'!BC39</f>
        <v>Verl. Playoff 2C</v>
      </c>
      <c r="M15" s="134" t="s">
        <v>43</v>
      </c>
      <c r="N15" s="135" t="str">
        <f>'Playoff-Playdowns'!BC40</f>
        <v>Ver. Playoff 2D</v>
      </c>
      <c r="O15" s="113" t="s">
        <v>158</v>
      </c>
    </row>
    <row r="17" spans="1:15" ht="14.25">
      <c r="A17" s="369" t="s">
        <v>159</v>
      </c>
      <c r="B17" s="369"/>
      <c r="C17" s="369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20.25">
      <c r="A18" s="370"/>
      <c r="B18" s="370"/>
      <c r="C18" s="370"/>
      <c r="D18" s="372" t="s">
        <v>160</v>
      </c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110"/>
    </row>
    <row r="19" spans="1:15" ht="15" customHeight="1">
      <c r="A19" s="370"/>
      <c r="B19" s="370"/>
      <c r="C19" s="37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28.5" customHeight="1">
      <c r="A20" s="125" t="str">
        <f>'Playoff-Playdowns'!BG16</f>
        <v>9. Platz</v>
      </c>
      <c r="B20" s="110"/>
      <c r="C20" s="110"/>
      <c r="D20" s="373" t="str">
        <f>A20</f>
        <v>9. Platz</v>
      </c>
      <c r="E20" s="374"/>
      <c r="F20" s="375"/>
      <c r="G20" s="110"/>
      <c r="H20" s="126"/>
      <c r="I20" s="127"/>
      <c r="J20" s="121"/>
      <c r="K20" s="127"/>
      <c r="L20" s="371" t="s">
        <v>161</v>
      </c>
      <c r="M20" s="371"/>
      <c r="N20" s="371"/>
      <c r="O20" s="110"/>
    </row>
    <row r="21" spans="1:15" ht="28.5" customHeight="1">
      <c r="A21" s="125" t="str">
        <f>'Playoff-Playdowns'!BG17</f>
        <v>10. Platz</v>
      </c>
      <c r="B21" s="110"/>
      <c r="C21" s="110"/>
      <c r="D21" s="359" t="str">
        <f>A21</f>
        <v>10. Platz</v>
      </c>
      <c r="E21" s="360"/>
      <c r="F21" s="361"/>
      <c r="G21" s="110"/>
      <c r="H21" s="126"/>
      <c r="I21" s="128"/>
      <c r="J21" s="108"/>
      <c r="K21" s="127"/>
      <c r="L21" s="110"/>
      <c r="M21" s="110"/>
      <c r="N21" s="110"/>
      <c r="O21" s="110"/>
    </row>
    <row r="22" spans="1:11" ht="28.5" customHeight="1">
      <c r="A22" s="123" t="str">
        <f>'Playoff-Playdowns'!BG18</f>
        <v>11. Platz</v>
      </c>
      <c r="D22" s="359" t="str">
        <f>A22</f>
        <v>11. Platz</v>
      </c>
      <c r="E22" s="360"/>
      <c r="F22" s="361"/>
      <c r="H22" s="105"/>
      <c r="I22" s="107"/>
      <c r="J22" s="107"/>
      <c r="K22" s="106"/>
    </row>
    <row r="23" spans="1:11" ht="28.5" customHeight="1">
      <c r="A23" s="123" t="str">
        <f>'Playoff-Playdowns'!BG19</f>
        <v>12. Platz</v>
      </c>
      <c r="D23" s="365" t="str">
        <f>A23</f>
        <v>12. Platz</v>
      </c>
      <c r="E23" s="366"/>
      <c r="F23" s="367"/>
      <c r="H23" s="105"/>
      <c r="I23" s="107"/>
      <c r="J23" s="107"/>
      <c r="K23" s="106"/>
    </row>
    <row r="24" spans="1:11" ht="15" customHeight="1">
      <c r="A24" s="104"/>
      <c r="E24" s="109"/>
      <c r="I24" s="106"/>
      <c r="J24" s="106"/>
      <c r="K24" s="106"/>
    </row>
    <row r="25" spans="1:11" ht="15" customHeight="1">
      <c r="A25" s="104"/>
      <c r="E25" s="109"/>
      <c r="I25" s="106"/>
      <c r="J25" s="106"/>
      <c r="K25" s="106"/>
    </row>
    <row r="26" spans="4:14" ht="15" customHeight="1">
      <c r="D26" s="114" t="s">
        <v>162</v>
      </c>
      <c r="E26" s="114"/>
      <c r="F26" s="115">
        <f>'Playoff-Playdowns'!A27</f>
        <v>151</v>
      </c>
      <c r="L26" s="116" t="s">
        <v>163</v>
      </c>
      <c r="M26" s="116"/>
      <c r="N26" s="117">
        <f>'Playoff-Playdowns'!A38</f>
        <v>162</v>
      </c>
    </row>
    <row r="27" spans="4:15" ht="35.25" customHeight="1">
      <c r="D27" s="118" t="str">
        <f>'Playoff-Playdowns'!F27</f>
        <v>1. AS Tabelle</v>
      </c>
      <c r="E27" s="119" t="s">
        <v>43</v>
      </c>
      <c r="F27" s="120" t="str">
        <f>'Playoff-Playdowns'!H27</f>
        <v>2. AS Tabelle</v>
      </c>
      <c r="L27" s="118" t="str">
        <f>'Playoff-Playdowns'!F38</f>
        <v>Gew. Spiel 151</v>
      </c>
      <c r="M27" s="119" t="s">
        <v>43</v>
      </c>
      <c r="N27" s="120" t="str">
        <f>'Playoff-Playdowns'!H38</f>
        <v>Gew. Spiel 157</v>
      </c>
      <c r="O27" s="113" t="s">
        <v>174</v>
      </c>
    </row>
    <row r="28" spans="8:10" ht="15" customHeight="1">
      <c r="H28" s="114" t="s">
        <v>164</v>
      </c>
      <c r="I28" s="114"/>
      <c r="J28" s="115">
        <f>'Playoff-Playdowns'!A33</f>
        <v>157</v>
      </c>
    </row>
    <row r="29" spans="8:15" ht="24.75" customHeight="1">
      <c r="H29" s="118" t="str">
        <f>'Playoff-Playdowns'!F33</f>
        <v>Verl. Spiel 151</v>
      </c>
      <c r="I29" s="119" t="s">
        <v>43</v>
      </c>
      <c r="J29" s="120" t="str">
        <f>'Playoff-Playdowns'!H33</f>
        <v>Gew. Spiel 152</v>
      </c>
      <c r="K29" s="110"/>
      <c r="L29" s="110"/>
      <c r="M29" s="110"/>
      <c r="N29" s="110"/>
      <c r="O29" s="102" t="s">
        <v>165</v>
      </c>
    </row>
    <row r="30" spans="4:12" ht="15" customHeight="1">
      <c r="D30" s="114" t="s">
        <v>166</v>
      </c>
      <c r="E30" s="114"/>
      <c r="F30" s="115">
        <f>'Playoff-Playdowns'!A28</f>
        <v>152</v>
      </c>
      <c r="J30" s="110"/>
      <c r="K30" s="110"/>
      <c r="L30" s="110"/>
    </row>
    <row r="31" spans="4:15" ht="24.75" customHeight="1">
      <c r="D31" s="118" t="str">
        <f>'Playoff-Playdowns'!F28</f>
        <v>3. AS Tabelle</v>
      </c>
      <c r="E31" s="119" t="s">
        <v>43</v>
      </c>
      <c r="F31" s="120" t="str">
        <f>'Playoff-Playdowns'!H28</f>
        <v>4. AS Tabelle</v>
      </c>
      <c r="J31" s="110"/>
      <c r="K31" s="110"/>
      <c r="L31" s="110"/>
      <c r="O31" s="102" t="s">
        <v>167</v>
      </c>
    </row>
    <row r="32" spans="10:12" ht="14.25">
      <c r="J32" s="110"/>
      <c r="K32" s="110"/>
      <c r="L32" s="110"/>
    </row>
    <row r="33" spans="10:14" ht="14.25">
      <c r="J33" s="110"/>
      <c r="K33" s="110"/>
      <c r="L33" s="110"/>
      <c r="M33" s="110" t="s">
        <v>168</v>
      </c>
      <c r="N33" s="110" t="s">
        <v>169</v>
      </c>
    </row>
    <row r="34" spans="13:14" ht="14.25">
      <c r="M34" s="110" t="s">
        <v>168</v>
      </c>
      <c r="N34" s="110" t="s">
        <v>170</v>
      </c>
    </row>
  </sheetData>
  <sheetProtection sheet="1" selectLockedCells="1"/>
  <mergeCells count="23">
    <mergeCell ref="D7:F7"/>
    <mergeCell ref="H7:J7"/>
    <mergeCell ref="L7:N7"/>
    <mergeCell ref="D8:F8"/>
    <mergeCell ref="H8:J8"/>
    <mergeCell ref="L8:N8"/>
    <mergeCell ref="D23:F23"/>
    <mergeCell ref="A1:C3"/>
    <mergeCell ref="A17:C19"/>
    <mergeCell ref="L20:N20"/>
    <mergeCell ref="D18:N18"/>
    <mergeCell ref="D14:F14"/>
    <mergeCell ref="H14:J14"/>
    <mergeCell ref="L14:N14"/>
    <mergeCell ref="D20:F20"/>
    <mergeCell ref="D21:F21"/>
    <mergeCell ref="D22:F22"/>
    <mergeCell ref="D10:F10"/>
    <mergeCell ref="H10:J10"/>
    <mergeCell ref="L10:N10"/>
    <mergeCell ref="D12:F12"/>
    <mergeCell ref="H12:J12"/>
    <mergeCell ref="L12:N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4" r:id="rId2"/>
  <headerFooter alignWithMargins="0">
    <oddHeader>&amp;C&amp;"Segoe UI,Fett"&amp;16Spielsystem der Endrunde der Deutschen Meisterschaften
im Kanupolo, Herren Bundesliga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204"/>
  <sheetViews>
    <sheetView showRowColHeaders="0" zoomScalePageLayoutView="0" workbookViewId="0" topLeftCell="A1">
      <selection activeCell="N28" sqref="N28"/>
    </sheetView>
  </sheetViews>
  <sheetFormatPr defaultColWidth="11.421875" defaultRowHeight="15"/>
  <cols>
    <col min="1" max="2" width="9.421875" style="50" customWidth="1"/>
    <col min="3" max="3" width="6.00390625" style="50" bestFit="1" customWidth="1"/>
    <col min="4" max="4" width="16.8515625" style="50" customWidth="1"/>
    <col min="5" max="5" width="1.57421875" style="64" bestFit="1" customWidth="1"/>
    <col min="6" max="6" width="16.8515625" style="50" customWidth="1"/>
    <col min="7" max="7" width="1.1484375" style="50" customWidth="1"/>
    <col min="8" max="9" width="18.8515625" style="68" customWidth="1"/>
    <col min="10" max="10" width="7.7109375" style="68" bestFit="1" customWidth="1"/>
    <col min="11" max="11" width="1.1484375" style="68" customWidth="1"/>
    <col min="12" max="15" width="17.00390625" style="68" customWidth="1"/>
    <col min="16" max="16" width="1.1484375" style="68" customWidth="1"/>
    <col min="17" max="19" width="17.8515625" style="68" customWidth="1"/>
    <col min="20" max="20" width="1.1484375" style="68" customWidth="1"/>
    <col min="21" max="21" width="14.00390625" style="68" customWidth="1"/>
    <col min="22" max="16384" width="11.421875" style="50" customWidth="1"/>
  </cols>
  <sheetData>
    <row r="1" spans="1:21" ht="16.5">
      <c r="A1" s="379" t="s">
        <v>119</v>
      </c>
      <c r="B1" s="233"/>
      <c r="C1" s="379" t="s">
        <v>40</v>
      </c>
      <c r="D1" s="378" t="s">
        <v>130</v>
      </c>
      <c r="E1" s="378"/>
      <c r="F1" s="378"/>
      <c r="G1" s="234"/>
      <c r="H1" s="378" t="s">
        <v>131</v>
      </c>
      <c r="I1" s="378"/>
      <c r="J1" s="234" t="s">
        <v>132</v>
      </c>
      <c r="K1" s="73"/>
      <c r="L1" s="377" t="s">
        <v>128</v>
      </c>
      <c r="M1" s="377"/>
      <c r="N1" s="377"/>
      <c r="O1" s="377"/>
      <c r="P1" s="73"/>
      <c r="Q1" s="377" t="s">
        <v>129</v>
      </c>
      <c r="R1" s="377"/>
      <c r="S1" s="377"/>
      <c r="T1" s="73"/>
      <c r="U1" s="73"/>
    </row>
    <row r="2" spans="1:21" s="69" customFormat="1" ht="16.5">
      <c r="A2" s="380"/>
      <c r="B2" s="235" t="s">
        <v>0</v>
      </c>
      <c r="C2" s="380"/>
      <c r="D2" s="235" t="s">
        <v>120</v>
      </c>
      <c r="E2" s="235" t="s">
        <v>43</v>
      </c>
      <c r="F2" s="235" t="s">
        <v>121</v>
      </c>
      <c r="G2" s="234"/>
      <c r="H2" s="235" t="s">
        <v>128</v>
      </c>
      <c r="I2" s="235" t="s">
        <v>129</v>
      </c>
      <c r="J2" s="235"/>
      <c r="K2" s="73"/>
      <c r="L2" s="74" t="s">
        <v>122</v>
      </c>
      <c r="M2" s="74" t="s">
        <v>123</v>
      </c>
      <c r="N2" s="74" t="s">
        <v>124</v>
      </c>
      <c r="O2" s="74" t="s">
        <v>125</v>
      </c>
      <c r="P2" s="73"/>
      <c r="Q2" s="74" t="s">
        <v>126</v>
      </c>
      <c r="R2" s="74" t="s">
        <v>127</v>
      </c>
      <c r="S2" s="74" t="s">
        <v>134</v>
      </c>
      <c r="T2" s="73"/>
      <c r="U2" s="74" t="s">
        <v>133</v>
      </c>
    </row>
    <row r="3" spans="1:21" ht="16.5">
      <c r="A3" s="236">
        <f>SpieleDB!A2</f>
        <v>1</v>
      </c>
      <c r="B3" s="237">
        <f>SpieleDB!J2</f>
        <v>43225</v>
      </c>
      <c r="C3" s="238">
        <f>SpieleDB!D2</f>
        <v>0.4166666666666667</v>
      </c>
      <c r="D3" s="236" t="str">
        <f>SpieleDB!F2</f>
        <v>KRM Essen</v>
      </c>
      <c r="E3" s="84" t="s">
        <v>43</v>
      </c>
      <c r="F3" s="236" t="str">
        <f>SpieleDB!G2</f>
        <v>KGW Essen</v>
      </c>
      <c r="G3" s="234"/>
      <c r="H3" s="84" t="str">
        <f>Saisondaten!B19</f>
        <v>WSF Liblar</v>
      </c>
      <c r="I3" s="84" t="str">
        <f>Saisondaten!B21</f>
        <v>KC Wetter</v>
      </c>
      <c r="J3" s="84" t="str">
        <f>IF(OR(OR(H3="",D3=H3),OR(I3="",F3=I3)),"nein","ja")</f>
        <v>ja</v>
      </c>
      <c r="K3" s="73"/>
      <c r="L3" s="150"/>
      <c r="M3" s="150"/>
      <c r="N3" s="150"/>
      <c r="O3" s="150"/>
      <c r="P3" s="73"/>
      <c r="Q3" s="150"/>
      <c r="R3" s="150"/>
      <c r="S3" s="150"/>
      <c r="T3" s="73"/>
      <c r="U3" s="150" t="s">
        <v>23</v>
      </c>
    </row>
    <row r="4" spans="1:21" ht="16.5">
      <c r="A4" s="236">
        <f>SpieleDB!A3</f>
        <v>2</v>
      </c>
      <c r="B4" s="237">
        <f>SpieleDB!J3</f>
        <v>43225</v>
      </c>
      <c r="C4" s="238">
        <f>SpieleDB!D3</f>
        <v>0.4479166666666667</v>
      </c>
      <c r="D4" s="236" t="str">
        <f>SpieleDB!F3</f>
        <v>1. MKC Duisburg</v>
      </c>
      <c r="E4" s="84" t="s">
        <v>43</v>
      </c>
      <c r="F4" s="236" t="str">
        <f>SpieleDB!G3</f>
        <v>Göttinger PC</v>
      </c>
      <c r="G4" s="234"/>
      <c r="H4" s="84" t="str">
        <f>Saisondaten!B22</f>
        <v>KGW Essen</v>
      </c>
      <c r="I4" s="84" t="str">
        <f>Saisondaten!B18</f>
        <v>KRM Essen</v>
      </c>
      <c r="J4" s="84" t="str">
        <f>IF(OR(OR(H4="",D4=H4),OR(I4="",F4=I4)),"nein","ja")</f>
        <v>ja</v>
      </c>
      <c r="K4" s="73"/>
      <c r="L4" s="150"/>
      <c r="M4" s="150"/>
      <c r="N4" s="150"/>
      <c r="O4" s="150"/>
      <c r="P4" s="73"/>
      <c r="Q4" s="150"/>
      <c r="R4" s="150"/>
      <c r="S4" s="150"/>
      <c r="T4" s="73"/>
      <c r="U4" s="150" t="s">
        <v>23</v>
      </c>
    </row>
    <row r="5" spans="1:21" ht="16.5">
      <c r="A5" s="236">
        <f>SpieleDB!A4</f>
        <v>3</v>
      </c>
      <c r="B5" s="237">
        <f>SpieleDB!J4</f>
        <v>43225</v>
      </c>
      <c r="C5" s="238">
        <f>SpieleDB!D4</f>
        <v>0.4791666666666667</v>
      </c>
      <c r="D5" s="236" t="str">
        <f>SpieleDB!F4</f>
        <v>WSF Liblar</v>
      </c>
      <c r="E5" s="84" t="s">
        <v>43</v>
      </c>
      <c r="F5" s="236" t="str">
        <f>SpieleDB!G4</f>
        <v>KC Wetter</v>
      </c>
      <c r="G5" s="234"/>
      <c r="H5" s="84" t="str">
        <f>Saisondaten!B20</f>
        <v>1. MKC Duisburg</v>
      </c>
      <c r="I5" s="84" t="str">
        <f>Saisondaten!B23</f>
        <v>Göttinger PC</v>
      </c>
      <c r="J5" s="84" t="str">
        <f aca="true" t="shared" si="0" ref="J5:J67">IF(OR(OR(H5="",D5=H5),OR(I5="",F5=I5)),"nein","ja")</f>
        <v>ja</v>
      </c>
      <c r="L5" s="150"/>
      <c r="M5" s="150"/>
      <c r="N5" s="150"/>
      <c r="O5" s="150"/>
      <c r="P5" s="73"/>
      <c r="Q5" s="150"/>
      <c r="R5" s="150"/>
      <c r="S5" s="150"/>
      <c r="T5" s="73"/>
      <c r="U5" s="150" t="s">
        <v>23</v>
      </c>
    </row>
    <row r="6" spans="1:21" ht="16.5">
      <c r="A6" s="236">
        <f>SpieleDB!A5</f>
        <v>4</v>
      </c>
      <c r="B6" s="237">
        <f>SpieleDB!J5</f>
        <v>43225</v>
      </c>
      <c r="C6" s="238">
        <f>SpieleDB!D5</f>
        <v>0.53125</v>
      </c>
      <c r="D6" s="236" t="str">
        <f>SpieleDB!F5</f>
        <v>1. MKC Duisburg</v>
      </c>
      <c r="E6" s="84" t="s">
        <v>43</v>
      </c>
      <c r="F6" s="236" t="str">
        <f>SpieleDB!G5</f>
        <v>KGW Essen</v>
      </c>
      <c r="G6" s="236"/>
      <c r="H6" s="84" t="str">
        <f>Saisondaten!B23</f>
        <v>Göttinger PC</v>
      </c>
      <c r="I6" s="84" t="str">
        <f>Saisondaten!B19</f>
        <v>WSF Liblar</v>
      </c>
      <c r="J6" s="84" t="str">
        <f t="shared" si="0"/>
        <v>ja</v>
      </c>
      <c r="L6" s="150"/>
      <c r="M6" s="150"/>
      <c r="N6" s="150"/>
      <c r="O6" s="150"/>
      <c r="P6" s="73"/>
      <c r="Q6" s="150"/>
      <c r="R6" s="150"/>
      <c r="S6" s="150"/>
      <c r="U6" s="150" t="s">
        <v>23</v>
      </c>
    </row>
    <row r="7" spans="1:21" ht="16.5">
      <c r="A7" s="236">
        <f>SpieleDB!A6</f>
        <v>5</v>
      </c>
      <c r="B7" s="237">
        <f>SpieleDB!J6</f>
        <v>43225</v>
      </c>
      <c r="C7" s="238">
        <f>SpieleDB!D6</f>
        <v>0.5729166666666666</v>
      </c>
      <c r="D7" s="236" t="str">
        <f>SpieleDB!F6</f>
        <v>KRM Essen</v>
      </c>
      <c r="E7" s="84" t="s">
        <v>43</v>
      </c>
      <c r="F7" s="236" t="str">
        <f>SpieleDB!G6</f>
        <v>KC Wetter</v>
      </c>
      <c r="G7" s="236"/>
      <c r="H7" s="84" t="str">
        <f>Saisondaten!B20</f>
        <v>1. MKC Duisburg</v>
      </c>
      <c r="I7" s="84" t="str">
        <f>Saisondaten!B22</f>
        <v>KGW Essen</v>
      </c>
      <c r="J7" s="84" t="str">
        <f t="shared" si="0"/>
        <v>ja</v>
      </c>
      <c r="L7" s="150"/>
      <c r="M7" s="150"/>
      <c r="N7" s="150"/>
      <c r="O7" s="150"/>
      <c r="Q7" s="150"/>
      <c r="R7" s="150"/>
      <c r="S7" s="150"/>
      <c r="U7" s="150" t="s">
        <v>23</v>
      </c>
    </row>
    <row r="8" spans="1:21" ht="16.5">
      <c r="A8" s="236">
        <f>SpieleDB!A7</f>
        <v>6</v>
      </c>
      <c r="B8" s="237">
        <f>SpieleDB!J7</f>
        <v>43225</v>
      </c>
      <c r="C8" s="238">
        <f>SpieleDB!D7</f>
        <v>0.6041666666666666</v>
      </c>
      <c r="D8" s="236" t="str">
        <f>SpieleDB!F7</f>
        <v>WSF Liblar</v>
      </c>
      <c r="E8" s="84" t="s">
        <v>43</v>
      </c>
      <c r="F8" s="236" t="str">
        <f>SpieleDB!G7</f>
        <v>Göttinger PC</v>
      </c>
      <c r="G8" s="236"/>
      <c r="H8" s="84" t="str">
        <f>Saisondaten!B22</f>
        <v>KGW Essen</v>
      </c>
      <c r="I8" s="84" t="str">
        <f>Saisondaten!B21</f>
        <v>KC Wetter</v>
      </c>
      <c r="J8" s="84" t="str">
        <f t="shared" si="0"/>
        <v>ja</v>
      </c>
      <c r="L8" s="150"/>
      <c r="M8" s="150"/>
      <c r="N8" s="150"/>
      <c r="O8" s="150"/>
      <c r="Q8" s="150"/>
      <c r="R8" s="150"/>
      <c r="S8" s="150"/>
      <c r="U8" s="150" t="s">
        <v>23</v>
      </c>
    </row>
    <row r="9" spans="1:21" ht="16.5">
      <c r="A9" s="236">
        <f>SpieleDB!A8</f>
        <v>7</v>
      </c>
      <c r="B9" s="237">
        <f>SpieleDB!J8</f>
        <v>43225</v>
      </c>
      <c r="C9" s="238">
        <f>SpieleDB!D8</f>
        <v>0.6458333333333334</v>
      </c>
      <c r="D9" s="236" t="str">
        <f>SpieleDB!F8</f>
        <v>KRM Essen</v>
      </c>
      <c r="E9" s="84" t="s">
        <v>43</v>
      </c>
      <c r="F9" s="236" t="str">
        <f>SpieleDB!G8</f>
        <v>1. MKC Duisburg</v>
      </c>
      <c r="G9" s="236"/>
      <c r="H9" s="84" t="str">
        <f>Saisondaten!B21</f>
        <v>KC Wetter</v>
      </c>
      <c r="I9" s="84" t="str">
        <f>Saisondaten!B23</f>
        <v>Göttinger PC</v>
      </c>
      <c r="J9" s="84" t="str">
        <f t="shared" si="0"/>
        <v>ja</v>
      </c>
      <c r="L9" s="150"/>
      <c r="M9" s="150"/>
      <c r="N9" s="150"/>
      <c r="O9" s="150"/>
      <c r="Q9" s="150"/>
      <c r="R9" s="150"/>
      <c r="S9" s="150"/>
      <c r="U9" s="150" t="s">
        <v>23</v>
      </c>
    </row>
    <row r="10" spans="1:21" ht="16.5">
      <c r="A10" s="236">
        <f>SpieleDB!A9</f>
        <v>8</v>
      </c>
      <c r="B10" s="237">
        <f>SpieleDB!J9</f>
        <v>43225</v>
      </c>
      <c r="C10" s="238">
        <f>SpieleDB!D9</f>
        <v>0.6770833333333334</v>
      </c>
      <c r="D10" s="236" t="str">
        <f>SpieleDB!F9</f>
        <v>WSF Liblar</v>
      </c>
      <c r="E10" s="84" t="s">
        <v>43</v>
      </c>
      <c r="F10" s="236" t="str">
        <f>SpieleDB!G9</f>
        <v>KGW Essen</v>
      </c>
      <c r="G10" s="236"/>
      <c r="H10" s="84" t="str">
        <f>Saisondaten!B18</f>
        <v>KRM Essen</v>
      </c>
      <c r="I10" s="84" t="str">
        <f>Saisondaten!B20</f>
        <v>1. MKC Duisburg</v>
      </c>
      <c r="J10" s="84" t="str">
        <f t="shared" si="0"/>
        <v>ja</v>
      </c>
      <c r="L10" s="150"/>
      <c r="M10" s="150"/>
      <c r="N10" s="150"/>
      <c r="O10" s="150"/>
      <c r="Q10" s="150"/>
      <c r="R10" s="150"/>
      <c r="S10" s="150"/>
      <c r="U10" s="150" t="s">
        <v>23</v>
      </c>
    </row>
    <row r="11" spans="1:21" ht="16.5">
      <c r="A11" s="236">
        <f>SpieleDB!A10</f>
        <v>9</v>
      </c>
      <c r="B11" s="237">
        <f>SpieleDB!J10</f>
        <v>43225</v>
      </c>
      <c r="C11" s="238">
        <f>SpieleDB!D10</f>
        <v>0.7083333333333334</v>
      </c>
      <c r="D11" s="236" t="str">
        <f>SpieleDB!F10</f>
        <v>KC Wetter</v>
      </c>
      <c r="E11" s="84" t="s">
        <v>43</v>
      </c>
      <c r="F11" s="236" t="str">
        <f>SpieleDB!G10</f>
        <v>Göttinger PC</v>
      </c>
      <c r="G11" s="236"/>
      <c r="H11" s="84" t="str">
        <f>Saisondaten!B18</f>
        <v>KRM Essen</v>
      </c>
      <c r="I11" s="84" t="str">
        <f>Saisondaten!B19</f>
        <v>WSF Liblar</v>
      </c>
      <c r="J11" s="84" t="str">
        <f t="shared" si="0"/>
        <v>ja</v>
      </c>
      <c r="L11" s="150"/>
      <c r="M11" s="150"/>
      <c r="N11" s="150"/>
      <c r="O11" s="150"/>
      <c r="Q11" s="150"/>
      <c r="R11" s="150"/>
      <c r="S11" s="150"/>
      <c r="U11" s="150" t="s">
        <v>23</v>
      </c>
    </row>
    <row r="12" spans="1:21" ht="16.5">
      <c r="A12" s="236">
        <f>SpieleDB!A11</f>
        <v>10</v>
      </c>
      <c r="B12" s="237">
        <f>SpieleDB!J11</f>
        <v>43226</v>
      </c>
      <c r="C12" s="238">
        <f>SpieleDB!D11</f>
        <v>0.4166666666666667</v>
      </c>
      <c r="D12" s="236" t="str">
        <f>SpieleDB!F11</f>
        <v>KC Wetter</v>
      </c>
      <c r="E12" s="84" t="s">
        <v>43</v>
      </c>
      <c r="F12" s="236" t="str">
        <f>SpieleDB!G11</f>
        <v>KGW Essen</v>
      </c>
      <c r="G12" s="236"/>
      <c r="H12" s="84" t="str">
        <f>Saisondaten!B19</f>
        <v>WSF Liblar</v>
      </c>
      <c r="I12" s="84" t="str">
        <f>Saisondaten!B20</f>
        <v>1. MKC Duisburg</v>
      </c>
      <c r="J12" s="84" t="str">
        <f t="shared" si="0"/>
        <v>ja</v>
      </c>
      <c r="L12" s="150"/>
      <c r="M12" s="150"/>
      <c r="N12" s="150"/>
      <c r="O12" s="150"/>
      <c r="Q12" s="150"/>
      <c r="R12" s="150"/>
      <c r="S12" s="150"/>
      <c r="U12" s="150" t="s">
        <v>23</v>
      </c>
    </row>
    <row r="13" spans="1:21" ht="16.5">
      <c r="A13" s="236">
        <f>SpieleDB!A12</f>
        <v>11</v>
      </c>
      <c r="B13" s="237">
        <f>SpieleDB!J12</f>
        <v>43226</v>
      </c>
      <c r="C13" s="238">
        <f>SpieleDB!D12</f>
        <v>0.4479166666666667</v>
      </c>
      <c r="D13" s="236" t="str">
        <f>SpieleDB!F12</f>
        <v>KRM Essen</v>
      </c>
      <c r="E13" s="84" t="s">
        <v>43</v>
      </c>
      <c r="F13" s="236" t="str">
        <f>SpieleDB!G12</f>
        <v>Göttinger PC</v>
      </c>
      <c r="G13" s="236"/>
      <c r="H13" s="84" t="str">
        <f>Saisondaten!B21</f>
        <v>KC Wetter</v>
      </c>
      <c r="I13" s="84" t="str">
        <f>Saisondaten!B22</f>
        <v>KGW Essen</v>
      </c>
      <c r="J13" s="84" t="str">
        <f t="shared" si="0"/>
        <v>ja</v>
      </c>
      <c r="L13" s="150"/>
      <c r="M13" s="150"/>
      <c r="N13" s="150"/>
      <c r="O13" s="150"/>
      <c r="Q13" s="150"/>
      <c r="R13" s="150"/>
      <c r="S13" s="150"/>
      <c r="U13" s="150" t="s">
        <v>23</v>
      </c>
    </row>
    <row r="14" spans="1:21" ht="16.5">
      <c r="A14" s="236">
        <f>SpieleDB!A13</f>
        <v>12</v>
      </c>
      <c r="B14" s="237">
        <f>SpieleDB!J13</f>
        <v>43226</v>
      </c>
      <c r="C14" s="238">
        <f>SpieleDB!D13</f>
        <v>0.4791666666666667</v>
      </c>
      <c r="D14" s="236" t="str">
        <f>SpieleDB!F13</f>
        <v>WSF Liblar</v>
      </c>
      <c r="E14" s="84" t="s">
        <v>43</v>
      </c>
      <c r="F14" s="236" t="str">
        <f>SpieleDB!G13</f>
        <v>1. MKC Duisburg</v>
      </c>
      <c r="G14" s="236"/>
      <c r="H14" s="84" t="str">
        <f>Saisondaten!B23</f>
        <v>Göttinger PC</v>
      </c>
      <c r="I14" s="84" t="str">
        <f>Saisondaten!B18</f>
        <v>KRM Essen</v>
      </c>
      <c r="J14" s="84" t="str">
        <f t="shared" si="0"/>
        <v>ja</v>
      </c>
      <c r="L14" s="150"/>
      <c r="M14" s="150"/>
      <c r="N14" s="150"/>
      <c r="O14" s="150"/>
      <c r="Q14" s="150"/>
      <c r="R14" s="150"/>
      <c r="S14" s="150"/>
      <c r="U14" s="150" t="s">
        <v>23</v>
      </c>
    </row>
    <row r="15" spans="1:21" ht="16.5">
      <c r="A15" s="236">
        <f>SpieleDB!A14</f>
        <v>13</v>
      </c>
      <c r="B15" s="237">
        <f>SpieleDB!J14</f>
        <v>43226</v>
      </c>
      <c r="C15" s="238">
        <f>SpieleDB!D14</f>
        <v>0.5208333333333334</v>
      </c>
      <c r="D15" s="236" t="str">
        <f>SpieleDB!F14</f>
        <v>KGW Essen</v>
      </c>
      <c r="E15" s="84" t="s">
        <v>43</v>
      </c>
      <c r="F15" s="236" t="str">
        <f>SpieleDB!G14</f>
        <v>Göttinger PC</v>
      </c>
      <c r="G15" s="236"/>
      <c r="H15" s="84" t="str">
        <f>Saisondaten!B18</f>
        <v>KRM Essen</v>
      </c>
      <c r="I15" s="84" t="str">
        <f>Saisondaten!B19</f>
        <v>WSF Liblar</v>
      </c>
      <c r="J15" s="84" t="str">
        <f t="shared" si="0"/>
        <v>ja</v>
      </c>
      <c r="L15" s="150"/>
      <c r="M15" s="150"/>
      <c r="N15" s="150"/>
      <c r="O15" s="150"/>
      <c r="Q15" s="150"/>
      <c r="R15" s="150"/>
      <c r="S15" s="150"/>
      <c r="U15" s="150" t="s">
        <v>23</v>
      </c>
    </row>
    <row r="16" spans="1:21" ht="16.5">
      <c r="A16" s="236">
        <f>SpieleDB!A15</f>
        <v>14</v>
      </c>
      <c r="B16" s="237">
        <f>SpieleDB!J15</f>
        <v>43226</v>
      </c>
      <c r="C16" s="238">
        <f>SpieleDB!D15</f>
        <v>0.5520833333333334</v>
      </c>
      <c r="D16" s="236" t="str">
        <f>SpieleDB!F15</f>
        <v>1. MKC Duisburg</v>
      </c>
      <c r="E16" s="84" t="s">
        <v>43</v>
      </c>
      <c r="F16" s="236" t="str">
        <f>SpieleDB!G15</f>
        <v>KC Wetter</v>
      </c>
      <c r="G16" s="236"/>
      <c r="H16" s="84" t="str">
        <f>Saisondaten!B22</f>
        <v>KGW Essen</v>
      </c>
      <c r="I16" s="84" t="str">
        <f>Saisondaten!B23</f>
        <v>Göttinger PC</v>
      </c>
      <c r="J16" s="84" t="str">
        <f t="shared" si="0"/>
        <v>ja</v>
      </c>
      <c r="L16" s="150"/>
      <c r="M16" s="150"/>
      <c r="N16" s="150"/>
      <c r="O16" s="150"/>
      <c r="Q16" s="150"/>
      <c r="R16" s="150"/>
      <c r="S16" s="150"/>
      <c r="U16" s="150" t="s">
        <v>23</v>
      </c>
    </row>
    <row r="17" spans="1:21" ht="16.5">
      <c r="A17" s="236">
        <f>SpieleDB!A16</f>
        <v>15</v>
      </c>
      <c r="B17" s="237">
        <f>SpieleDB!J16</f>
        <v>43226</v>
      </c>
      <c r="C17" s="238">
        <f>SpieleDB!D16</f>
        <v>0.5833333333333334</v>
      </c>
      <c r="D17" s="236" t="str">
        <f>SpieleDB!F16</f>
        <v>KRM Essen</v>
      </c>
      <c r="E17" s="84" t="s">
        <v>43</v>
      </c>
      <c r="F17" s="236" t="str">
        <f>SpieleDB!G16</f>
        <v>WSF Liblar</v>
      </c>
      <c r="G17" s="236"/>
      <c r="H17" s="84" t="str">
        <f>Saisondaten!B20</f>
        <v>1. MKC Duisburg</v>
      </c>
      <c r="I17" s="84" t="str">
        <f>Saisondaten!B21</f>
        <v>KC Wetter</v>
      </c>
      <c r="J17" s="84" t="str">
        <f t="shared" si="0"/>
        <v>ja</v>
      </c>
      <c r="L17" s="150"/>
      <c r="M17" s="150"/>
      <c r="N17" s="150"/>
      <c r="O17" s="150"/>
      <c r="Q17" s="150"/>
      <c r="R17" s="150"/>
      <c r="S17" s="150"/>
      <c r="U17" s="150" t="s">
        <v>23</v>
      </c>
    </row>
    <row r="18" spans="1:21" ht="16.5">
      <c r="A18" s="236">
        <f>SpieleDB!A17</f>
        <v>16</v>
      </c>
      <c r="B18" s="237">
        <f>SpieleDB!J17</f>
        <v>43225</v>
      </c>
      <c r="C18" s="238">
        <f>SpieleDB!D17</f>
        <v>0.4166666666666667</v>
      </c>
      <c r="D18" s="236" t="str">
        <f>SpieleDB!F17</f>
        <v>ACC Hamburg</v>
      </c>
      <c r="E18" s="84" t="s">
        <v>43</v>
      </c>
      <c r="F18" s="236" t="str">
        <f>SpieleDB!G17</f>
        <v>KSV Glauchau</v>
      </c>
      <c r="G18" s="236"/>
      <c r="H18" s="84" t="str">
        <f>Saisondaten!C19</f>
        <v>KCNW Berlin</v>
      </c>
      <c r="I18" s="84" t="str">
        <f>Saisondaten!C21</f>
        <v>VK Berlin</v>
      </c>
      <c r="J18" s="84" t="str">
        <f t="shared" si="0"/>
        <v>ja</v>
      </c>
      <c r="L18" s="150"/>
      <c r="M18" s="150"/>
      <c r="N18" s="150"/>
      <c r="O18" s="150"/>
      <c r="Q18" s="150"/>
      <c r="R18" s="150"/>
      <c r="S18" s="150"/>
      <c r="U18" s="150" t="s">
        <v>23</v>
      </c>
    </row>
    <row r="19" spans="1:21" ht="16.5">
      <c r="A19" s="236">
        <f>SpieleDB!A18</f>
        <v>17</v>
      </c>
      <c r="B19" s="237">
        <f>SpieleDB!J18</f>
        <v>43225</v>
      </c>
      <c r="C19" s="238">
        <f>SpieleDB!D18</f>
        <v>0.4479166666666667</v>
      </c>
      <c r="D19" s="236" t="str">
        <f>SpieleDB!F18</f>
        <v>RSV Hannover</v>
      </c>
      <c r="E19" s="84" t="s">
        <v>43</v>
      </c>
      <c r="F19" s="236" t="str">
        <f>SpieleDB!G18</f>
        <v>KSVH Berlin</v>
      </c>
      <c r="G19" s="236"/>
      <c r="H19" s="84" t="str">
        <f>Saisondaten!C22</f>
        <v>KSV Glauchau</v>
      </c>
      <c r="I19" s="84" t="str">
        <f>Saisondaten!C18</f>
        <v>ACC Hamburg</v>
      </c>
      <c r="J19" s="84" t="str">
        <f t="shared" si="0"/>
        <v>ja</v>
      </c>
      <c r="L19" s="150"/>
      <c r="M19" s="150"/>
      <c r="N19" s="150"/>
      <c r="O19" s="150"/>
      <c r="Q19" s="150"/>
      <c r="R19" s="150"/>
      <c r="S19" s="150"/>
      <c r="U19" s="150" t="s">
        <v>23</v>
      </c>
    </row>
    <row r="20" spans="1:21" ht="16.5">
      <c r="A20" s="236">
        <f>SpieleDB!A19</f>
        <v>18</v>
      </c>
      <c r="B20" s="237">
        <f>SpieleDB!J19</f>
        <v>43225</v>
      </c>
      <c r="C20" s="238">
        <f>SpieleDB!D19</f>
        <v>0.4791666666666667</v>
      </c>
      <c r="D20" s="236" t="str">
        <f>SpieleDB!F19</f>
        <v>KCNW Berlin</v>
      </c>
      <c r="E20" s="84" t="s">
        <v>43</v>
      </c>
      <c r="F20" s="236" t="str">
        <f>SpieleDB!G19</f>
        <v>VK Berlin</v>
      </c>
      <c r="G20" s="236"/>
      <c r="H20" s="84" t="str">
        <f>Saisondaten!C20</f>
        <v>RSV Hannover</v>
      </c>
      <c r="I20" s="84" t="str">
        <f>Saisondaten!C23</f>
        <v>KSVH Berlin</v>
      </c>
      <c r="J20" s="84" t="str">
        <f t="shared" si="0"/>
        <v>ja</v>
      </c>
      <c r="L20" s="150"/>
      <c r="M20" s="150"/>
      <c r="N20" s="150"/>
      <c r="O20" s="150"/>
      <c r="Q20" s="150"/>
      <c r="R20" s="150"/>
      <c r="S20" s="150"/>
      <c r="U20" s="150" t="s">
        <v>23</v>
      </c>
    </row>
    <row r="21" spans="1:21" ht="16.5">
      <c r="A21" s="236">
        <f>SpieleDB!A20</f>
        <v>19</v>
      </c>
      <c r="B21" s="237">
        <f>SpieleDB!J20</f>
        <v>43225</v>
      </c>
      <c r="C21" s="238">
        <f>SpieleDB!D20</f>
        <v>0.53125</v>
      </c>
      <c r="D21" s="236" t="str">
        <f>SpieleDB!F20</f>
        <v>RSV Hannover</v>
      </c>
      <c r="E21" s="84" t="s">
        <v>43</v>
      </c>
      <c r="F21" s="236" t="str">
        <f>SpieleDB!G20</f>
        <v>KSV Glauchau</v>
      </c>
      <c r="G21" s="236"/>
      <c r="H21" s="84" t="str">
        <f>Saisondaten!C23</f>
        <v>KSVH Berlin</v>
      </c>
      <c r="I21" s="84" t="str">
        <f>Saisondaten!C19</f>
        <v>KCNW Berlin</v>
      </c>
      <c r="J21" s="84" t="str">
        <f t="shared" si="0"/>
        <v>ja</v>
      </c>
      <c r="L21" s="150"/>
      <c r="M21" s="150"/>
      <c r="N21" s="150"/>
      <c r="O21" s="150"/>
      <c r="Q21" s="150"/>
      <c r="R21" s="150"/>
      <c r="S21" s="150"/>
      <c r="U21" s="150" t="s">
        <v>23</v>
      </c>
    </row>
    <row r="22" spans="1:21" ht="16.5">
      <c r="A22" s="236">
        <f>SpieleDB!A21</f>
        <v>20</v>
      </c>
      <c r="B22" s="237">
        <f>SpieleDB!J21</f>
        <v>43225</v>
      </c>
      <c r="C22" s="238">
        <f>SpieleDB!D21</f>
        <v>0.5625</v>
      </c>
      <c r="D22" s="236" t="str">
        <f>SpieleDB!F21</f>
        <v>ACC Hamburg</v>
      </c>
      <c r="E22" s="84" t="s">
        <v>43</v>
      </c>
      <c r="F22" s="236" t="str">
        <f>SpieleDB!G21</f>
        <v>VK Berlin</v>
      </c>
      <c r="G22" s="236"/>
      <c r="H22" s="84" t="str">
        <f>Saisondaten!C20</f>
        <v>RSV Hannover</v>
      </c>
      <c r="I22" s="84" t="str">
        <f>Saisondaten!C22</f>
        <v>KSV Glauchau</v>
      </c>
      <c r="J22" s="84" t="str">
        <f t="shared" si="0"/>
        <v>ja</v>
      </c>
      <c r="L22" s="150"/>
      <c r="M22" s="150"/>
      <c r="N22" s="150"/>
      <c r="O22" s="150"/>
      <c r="Q22" s="150"/>
      <c r="R22" s="150"/>
      <c r="S22" s="150"/>
      <c r="U22" s="150" t="s">
        <v>23</v>
      </c>
    </row>
    <row r="23" spans="1:21" ht="16.5">
      <c r="A23" s="236">
        <f>SpieleDB!A22</f>
        <v>21</v>
      </c>
      <c r="B23" s="237">
        <f>SpieleDB!J22</f>
        <v>43225</v>
      </c>
      <c r="C23" s="238">
        <f>SpieleDB!D22</f>
        <v>0.59375</v>
      </c>
      <c r="D23" s="236" t="str">
        <f>SpieleDB!F22</f>
        <v>KCNW Berlin</v>
      </c>
      <c r="E23" s="84" t="s">
        <v>43</v>
      </c>
      <c r="F23" s="236" t="str">
        <f>SpieleDB!G22</f>
        <v>KSVH Berlin</v>
      </c>
      <c r="G23" s="236"/>
      <c r="H23" s="84" t="str">
        <f>Saisondaten!C22</f>
        <v>KSV Glauchau</v>
      </c>
      <c r="I23" s="84" t="str">
        <f>Saisondaten!C21</f>
        <v>VK Berlin</v>
      </c>
      <c r="J23" s="84" t="str">
        <f t="shared" si="0"/>
        <v>ja</v>
      </c>
      <c r="L23" s="150"/>
      <c r="M23" s="150"/>
      <c r="N23" s="150"/>
      <c r="O23" s="150"/>
      <c r="Q23" s="150"/>
      <c r="R23" s="150"/>
      <c r="S23" s="150"/>
      <c r="U23" s="150" t="s">
        <v>23</v>
      </c>
    </row>
    <row r="24" spans="1:21" ht="16.5">
      <c r="A24" s="236">
        <f>SpieleDB!A23</f>
        <v>22</v>
      </c>
      <c r="B24" s="237">
        <f>SpieleDB!J23</f>
        <v>43225</v>
      </c>
      <c r="C24" s="238">
        <f>SpieleDB!D23</f>
        <v>0.6458333333333334</v>
      </c>
      <c r="D24" s="236" t="str">
        <f>SpieleDB!F23</f>
        <v>ACC Hamburg</v>
      </c>
      <c r="E24" s="84" t="s">
        <v>43</v>
      </c>
      <c r="F24" s="236" t="str">
        <f>SpieleDB!G23</f>
        <v>RSV Hannover</v>
      </c>
      <c r="G24" s="236"/>
      <c r="H24" s="84" t="str">
        <f>Saisondaten!C21</f>
        <v>VK Berlin</v>
      </c>
      <c r="I24" s="84" t="str">
        <f>Saisondaten!C23</f>
        <v>KSVH Berlin</v>
      </c>
      <c r="J24" s="84" t="str">
        <f t="shared" si="0"/>
        <v>ja</v>
      </c>
      <c r="L24" s="150"/>
      <c r="M24" s="150"/>
      <c r="N24" s="150"/>
      <c r="O24" s="150"/>
      <c r="Q24" s="150"/>
      <c r="R24" s="150"/>
      <c r="S24" s="150"/>
      <c r="U24" s="150" t="s">
        <v>23</v>
      </c>
    </row>
    <row r="25" spans="1:21" ht="16.5">
      <c r="A25" s="236">
        <f>SpieleDB!A24</f>
        <v>23</v>
      </c>
      <c r="B25" s="237">
        <f>SpieleDB!J24</f>
        <v>43225</v>
      </c>
      <c r="C25" s="238">
        <f>SpieleDB!D24</f>
        <v>0.6770833333333334</v>
      </c>
      <c r="D25" s="236" t="str">
        <f>SpieleDB!F24</f>
        <v>KCNW Berlin</v>
      </c>
      <c r="E25" s="84" t="s">
        <v>43</v>
      </c>
      <c r="F25" s="236" t="str">
        <f>SpieleDB!G24</f>
        <v>KSV Glauchau</v>
      </c>
      <c r="G25" s="236"/>
      <c r="H25" s="84" t="str">
        <f>Saisondaten!C18</f>
        <v>ACC Hamburg</v>
      </c>
      <c r="I25" s="84" t="str">
        <f>Saisondaten!C20</f>
        <v>RSV Hannover</v>
      </c>
      <c r="J25" s="84" t="str">
        <f t="shared" si="0"/>
        <v>ja</v>
      </c>
      <c r="L25" s="150"/>
      <c r="M25" s="150"/>
      <c r="N25" s="150"/>
      <c r="O25" s="150"/>
      <c r="Q25" s="150"/>
      <c r="R25" s="150"/>
      <c r="S25" s="150"/>
      <c r="U25" s="150" t="s">
        <v>23</v>
      </c>
    </row>
    <row r="26" spans="1:21" ht="16.5">
      <c r="A26" s="236">
        <f>SpieleDB!A25</f>
        <v>24</v>
      </c>
      <c r="B26" s="237">
        <f>SpieleDB!J25</f>
        <v>43225</v>
      </c>
      <c r="C26" s="238">
        <f>SpieleDB!D25</f>
        <v>0.7083333333333334</v>
      </c>
      <c r="D26" s="236" t="str">
        <f>SpieleDB!F25</f>
        <v>VK Berlin</v>
      </c>
      <c r="E26" s="84" t="s">
        <v>43</v>
      </c>
      <c r="F26" s="236" t="str">
        <f>SpieleDB!G25</f>
        <v>KSVH Berlin</v>
      </c>
      <c r="G26" s="236"/>
      <c r="H26" s="84" t="str">
        <f>Saisondaten!C18</f>
        <v>ACC Hamburg</v>
      </c>
      <c r="I26" s="84" t="str">
        <f>Saisondaten!C19</f>
        <v>KCNW Berlin</v>
      </c>
      <c r="J26" s="84" t="str">
        <f t="shared" si="0"/>
        <v>ja</v>
      </c>
      <c r="L26" s="150"/>
      <c r="M26" s="150"/>
      <c r="N26" s="150"/>
      <c r="O26" s="150"/>
      <c r="Q26" s="150"/>
      <c r="R26" s="150"/>
      <c r="S26" s="150"/>
      <c r="U26" s="150" t="s">
        <v>23</v>
      </c>
    </row>
    <row r="27" spans="1:21" ht="16.5">
      <c r="A27" s="236">
        <f>SpieleDB!A26</f>
        <v>25</v>
      </c>
      <c r="B27" s="237">
        <f>SpieleDB!J26</f>
        <v>43226</v>
      </c>
      <c r="C27" s="238">
        <f>SpieleDB!D26</f>
        <v>0.4166666666666667</v>
      </c>
      <c r="D27" s="236" t="str">
        <f>SpieleDB!F26</f>
        <v>VK Berlin</v>
      </c>
      <c r="E27" s="84" t="s">
        <v>43</v>
      </c>
      <c r="F27" s="236" t="str">
        <f>SpieleDB!G26</f>
        <v>KSV Glauchau</v>
      </c>
      <c r="G27" s="236"/>
      <c r="H27" s="84" t="str">
        <f>Saisondaten!C19</f>
        <v>KCNW Berlin</v>
      </c>
      <c r="I27" s="84" t="str">
        <f>Saisondaten!C20</f>
        <v>RSV Hannover</v>
      </c>
      <c r="J27" s="84" t="str">
        <f t="shared" si="0"/>
        <v>ja</v>
      </c>
      <c r="L27" s="150"/>
      <c r="M27" s="150"/>
      <c r="N27" s="150"/>
      <c r="O27" s="150"/>
      <c r="Q27" s="150"/>
      <c r="R27" s="150"/>
      <c r="S27" s="150"/>
      <c r="U27" s="150" t="s">
        <v>23</v>
      </c>
    </row>
    <row r="28" spans="1:21" ht="16.5">
      <c r="A28" s="236">
        <f>SpieleDB!A27</f>
        <v>26</v>
      </c>
      <c r="B28" s="237">
        <f>SpieleDB!J27</f>
        <v>43226</v>
      </c>
      <c r="C28" s="238">
        <f>SpieleDB!D27</f>
        <v>0.4479166666666667</v>
      </c>
      <c r="D28" s="236" t="str">
        <f>SpieleDB!F27</f>
        <v>ACC Hamburg</v>
      </c>
      <c r="E28" s="84" t="s">
        <v>43</v>
      </c>
      <c r="F28" s="236" t="str">
        <f>SpieleDB!G27</f>
        <v>KSVH Berlin</v>
      </c>
      <c r="G28" s="236"/>
      <c r="H28" s="84" t="str">
        <f>Saisondaten!C21</f>
        <v>VK Berlin</v>
      </c>
      <c r="I28" s="84" t="str">
        <f>Saisondaten!C22</f>
        <v>KSV Glauchau</v>
      </c>
      <c r="J28" s="84" t="str">
        <f t="shared" si="0"/>
        <v>ja</v>
      </c>
      <c r="L28" s="150"/>
      <c r="M28" s="150"/>
      <c r="N28" s="150"/>
      <c r="O28" s="150"/>
      <c r="Q28" s="150"/>
      <c r="R28" s="150"/>
      <c r="S28" s="150"/>
      <c r="U28" s="150" t="s">
        <v>23</v>
      </c>
    </row>
    <row r="29" spans="1:21" ht="16.5">
      <c r="A29" s="236">
        <f>SpieleDB!A28</f>
        <v>27</v>
      </c>
      <c r="B29" s="237">
        <f>SpieleDB!J28</f>
        <v>43226</v>
      </c>
      <c r="C29" s="238">
        <f>SpieleDB!D28</f>
        <v>0.4791666666666667</v>
      </c>
      <c r="D29" s="236" t="str">
        <f>SpieleDB!F28</f>
        <v>KCNW Berlin</v>
      </c>
      <c r="E29" s="84" t="s">
        <v>43</v>
      </c>
      <c r="F29" s="236" t="str">
        <f>SpieleDB!G28</f>
        <v>RSV Hannover</v>
      </c>
      <c r="G29" s="236"/>
      <c r="H29" s="84" t="str">
        <f>Saisondaten!C23</f>
        <v>KSVH Berlin</v>
      </c>
      <c r="I29" s="84" t="str">
        <f>Saisondaten!C18</f>
        <v>ACC Hamburg</v>
      </c>
      <c r="J29" s="84" t="str">
        <f t="shared" si="0"/>
        <v>ja</v>
      </c>
      <c r="L29" s="150"/>
      <c r="M29" s="150"/>
      <c r="N29" s="150"/>
      <c r="O29" s="150"/>
      <c r="Q29" s="150"/>
      <c r="R29" s="150"/>
      <c r="S29" s="150"/>
      <c r="U29" s="150" t="s">
        <v>23</v>
      </c>
    </row>
    <row r="30" spans="1:21" ht="16.5">
      <c r="A30" s="236">
        <f>SpieleDB!A29</f>
        <v>28</v>
      </c>
      <c r="B30" s="237">
        <f>SpieleDB!J29</f>
        <v>43226</v>
      </c>
      <c r="C30" s="238">
        <f>SpieleDB!D29</f>
        <v>0.5208333333333334</v>
      </c>
      <c r="D30" s="236" t="str">
        <f>SpieleDB!F29</f>
        <v>KSV Glauchau</v>
      </c>
      <c r="E30" s="84" t="s">
        <v>43</v>
      </c>
      <c r="F30" s="236" t="str">
        <f>SpieleDB!G29</f>
        <v>KSVH Berlin</v>
      </c>
      <c r="G30" s="236"/>
      <c r="H30" s="84" t="str">
        <f>Saisondaten!C18</f>
        <v>ACC Hamburg</v>
      </c>
      <c r="I30" s="84" t="str">
        <f>Saisondaten!C19</f>
        <v>KCNW Berlin</v>
      </c>
      <c r="J30" s="84" t="str">
        <f t="shared" si="0"/>
        <v>ja</v>
      </c>
      <c r="L30" s="150"/>
      <c r="M30" s="150"/>
      <c r="N30" s="150"/>
      <c r="O30" s="150"/>
      <c r="Q30" s="150"/>
      <c r="R30" s="150"/>
      <c r="S30" s="150"/>
      <c r="U30" s="150" t="s">
        <v>23</v>
      </c>
    </row>
    <row r="31" spans="1:21" ht="16.5">
      <c r="A31" s="236">
        <f>SpieleDB!A30</f>
        <v>29</v>
      </c>
      <c r="B31" s="237">
        <f>SpieleDB!J30</f>
        <v>43226</v>
      </c>
      <c r="C31" s="238">
        <f>SpieleDB!D30</f>
        <v>0.5520833333333334</v>
      </c>
      <c r="D31" s="236" t="str">
        <f>SpieleDB!F30</f>
        <v>RSV Hannover</v>
      </c>
      <c r="E31" s="84" t="s">
        <v>43</v>
      </c>
      <c r="F31" s="236" t="str">
        <f>SpieleDB!G30</f>
        <v>VK Berlin</v>
      </c>
      <c r="G31" s="236"/>
      <c r="H31" s="84" t="str">
        <f>Saisondaten!C22</f>
        <v>KSV Glauchau</v>
      </c>
      <c r="I31" s="84" t="str">
        <f>Saisondaten!C23</f>
        <v>KSVH Berlin</v>
      </c>
      <c r="J31" s="84" t="str">
        <f t="shared" si="0"/>
        <v>ja</v>
      </c>
      <c r="L31" s="150"/>
      <c r="M31" s="150"/>
      <c r="N31" s="150"/>
      <c r="O31" s="150"/>
      <c r="Q31" s="150"/>
      <c r="R31" s="150"/>
      <c r="S31" s="150"/>
      <c r="U31" s="150" t="s">
        <v>23</v>
      </c>
    </row>
    <row r="32" spans="1:21" ht="16.5">
      <c r="A32" s="236">
        <f>SpieleDB!A31</f>
        <v>30</v>
      </c>
      <c r="B32" s="237">
        <f>SpieleDB!J31</f>
        <v>43226</v>
      </c>
      <c r="C32" s="238">
        <f>SpieleDB!D31</f>
        <v>0.5833333333333334</v>
      </c>
      <c r="D32" s="236" t="str">
        <f>SpieleDB!F31</f>
        <v>ACC Hamburg</v>
      </c>
      <c r="E32" s="84" t="s">
        <v>43</v>
      </c>
      <c r="F32" s="236" t="str">
        <f>SpieleDB!G31</f>
        <v>KCNW Berlin</v>
      </c>
      <c r="G32" s="236"/>
      <c r="H32" s="84" t="str">
        <f>Saisondaten!C20</f>
        <v>RSV Hannover</v>
      </c>
      <c r="I32" s="84" t="str">
        <f>Saisondaten!C21</f>
        <v>VK Berlin</v>
      </c>
      <c r="J32" s="84" t="str">
        <f t="shared" si="0"/>
        <v>ja</v>
      </c>
      <c r="L32" s="150"/>
      <c r="M32" s="150"/>
      <c r="N32" s="150"/>
      <c r="O32" s="150"/>
      <c r="Q32" s="150"/>
      <c r="R32" s="150"/>
      <c r="S32" s="150"/>
      <c r="U32" s="150" t="s">
        <v>23</v>
      </c>
    </row>
    <row r="33" spans="1:21" ht="16.5">
      <c r="A33" s="236">
        <f>SpieleDB!A32</f>
        <v>31</v>
      </c>
      <c r="B33" s="237">
        <f>SpieleDB!J32</f>
        <v>43253</v>
      </c>
      <c r="C33" s="238">
        <f>SpieleDB!D32</f>
        <v>0.3958333333333333</v>
      </c>
      <c r="D33" s="236" t="str">
        <f>SpieleDB!F32</f>
        <v>KRM Essen</v>
      </c>
      <c r="E33" s="84" t="s">
        <v>43</v>
      </c>
      <c r="F33" s="236" t="str">
        <f>SpieleDB!G32</f>
        <v>KSVH Berlin</v>
      </c>
      <c r="G33" s="236"/>
      <c r="H33" s="84" t="str">
        <f>Saisondaten!B22</f>
        <v>KGW Essen</v>
      </c>
      <c r="I33" s="84" t="str">
        <f>Saisondaten!C19</f>
        <v>KCNW Berlin</v>
      </c>
      <c r="J33" s="84" t="str">
        <f t="shared" si="0"/>
        <v>ja</v>
      </c>
      <c r="L33" s="150"/>
      <c r="M33" s="150"/>
      <c r="N33" s="150"/>
      <c r="O33" s="150"/>
      <c r="Q33" s="150"/>
      <c r="R33" s="150"/>
      <c r="S33" s="150"/>
      <c r="U33" s="150" t="s">
        <v>23</v>
      </c>
    </row>
    <row r="34" spans="1:21" ht="16.5">
      <c r="A34" s="236">
        <f>SpieleDB!A33</f>
        <v>32</v>
      </c>
      <c r="B34" s="237">
        <f>SpieleDB!J33</f>
        <v>43253</v>
      </c>
      <c r="C34" s="238">
        <f>SpieleDB!D33</f>
        <v>0.3958333333333333</v>
      </c>
      <c r="D34" s="236" t="str">
        <f>SpieleDB!F33</f>
        <v>WSF Liblar</v>
      </c>
      <c r="E34" s="84" t="s">
        <v>43</v>
      </c>
      <c r="F34" s="236" t="str">
        <f>SpieleDB!G33</f>
        <v>KSV Glauchau</v>
      </c>
      <c r="G34" s="236"/>
      <c r="H34" s="84" t="str">
        <f>Saisondaten!B23</f>
        <v>Göttinger PC</v>
      </c>
      <c r="I34" s="84" t="str">
        <f>Saisondaten!C18</f>
        <v>ACC Hamburg</v>
      </c>
      <c r="J34" s="84" t="str">
        <f t="shared" si="0"/>
        <v>ja</v>
      </c>
      <c r="L34" s="150"/>
      <c r="M34" s="150"/>
      <c r="N34" s="150"/>
      <c r="O34" s="150"/>
      <c r="Q34" s="150"/>
      <c r="R34" s="150"/>
      <c r="S34" s="150"/>
      <c r="U34" s="150" t="s">
        <v>23</v>
      </c>
    </row>
    <row r="35" spans="1:21" ht="16.5">
      <c r="A35" s="236">
        <f>SpieleDB!A34</f>
        <v>33</v>
      </c>
      <c r="B35" s="237">
        <f>SpieleDB!J34</f>
        <v>43253</v>
      </c>
      <c r="C35" s="238">
        <f>SpieleDB!D34</f>
        <v>0.4270833333333333</v>
      </c>
      <c r="D35" s="236" t="str">
        <f>SpieleDB!F34</f>
        <v>1. MKC Duisburg</v>
      </c>
      <c r="E35" s="84" t="s">
        <v>43</v>
      </c>
      <c r="F35" s="236" t="str">
        <f>SpieleDB!G34</f>
        <v>VK Berlin</v>
      </c>
      <c r="G35" s="236"/>
      <c r="H35" s="84" t="str">
        <f>Saisondaten!B18</f>
        <v>KRM Essen</v>
      </c>
      <c r="I35" s="84" t="str">
        <f>Saisondaten!C23</f>
        <v>KSVH Berlin</v>
      </c>
      <c r="J35" s="84" t="str">
        <f t="shared" si="0"/>
        <v>ja</v>
      </c>
      <c r="L35" s="150"/>
      <c r="M35" s="150"/>
      <c r="N35" s="150"/>
      <c r="O35" s="150"/>
      <c r="Q35" s="150"/>
      <c r="R35" s="150"/>
      <c r="S35" s="150"/>
      <c r="U35" s="150" t="s">
        <v>23</v>
      </c>
    </row>
    <row r="36" spans="1:21" ht="16.5">
      <c r="A36" s="236">
        <f>SpieleDB!A35</f>
        <v>34</v>
      </c>
      <c r="B36" s="237">
        <f>SpieleDB!J35</f>
        <v>43253</v>
      </c>
      <c r="C36" s="238">
        <f>SpieleDB!D35</f>
        <v>0.4270833333333333</v>
      </c>
      <c r="D36" s="236" t="str">
        <f>SpieleDB!F35</f>
        <v>KC Wetter</v>
      </c>
      <c r="E36" s="84" t="s">
        <v>43</v>
      </c>
      <c r="F36" s="236" t="str">
        <f>SpieleDB!G35</f>
        <v>RSV Hannover</v>
      </c>
      <c r="G36" s="236"/>
      <c r="H36" s="84" t="str">
        <f>Saisondaten!B19</f>
        <v>WSF Liblar</v>
      </c>
      <c r="I36" s="84" t="str">
        <f>Saisondaten!C22</f>
        <v>KSV Glauchau</v>
      </c>
      <c r="J36" s="84" t="str">
        <f t="shared" si="0"/>
        <v>ja</v>
      </c>
      <c r="L36" s="150"/>
      <c r="M36" s="150"/>
      <c r="N36" s="150"/>
      <c r="O36" s="150"/>
      <c r="Q36" s="150"/>
      <c r="R36" s="150"/>
      <c r="S36" s="150"/>
      <c r="U36" s="150" t="s">
        <v>23</v>
      </c>
    </row>
    <row r="37" spans="1:21" ht="16.5">
      <c r="A37" s="236">
        <f>SpieleDB!A36</f>
        <v>35</v>
      </c>
      <c r="B37" s="237">
        <f>SpieleDB!J36</f>
        <v>43253</v>
      </c>
      <c r="C37" s="238">
        <f>SpieleDB!D36</f>
        <v>0.4583333333333333</v>
      </c>
      <c r="D37" s="236" t="str">
        <f>SpieleDB!F36</f>
        <v>KGW Essen</v>
      </c>
      <c r="E37" s="84" t="s">
        <v>43</v>
      </c>
      <c r="F37" s="236" t="str">
        <f>SpieleDB!G36</f>
        <v>KCNW Berlin</v>
      </c>
      <c r="G37" s="236"/>
      <c r="H37" s="84" t="str">
        <f>Saisondaten!B20</f>
        <v>1. MKC Duisburg</v>
      </c>
      <c r="I37" s="84" t="str">
        <f>Saisondaten!C21</f>
        <v>VK Berlin</v>
      </c>
      <c r="J37" s="84" t="str">
        <f t="shared" si="0"/>
        <v>ja</v>
      </c>
      <c r="L37" s="150"/>
      <c r="M37" s="150"/>
      <c r="N37" s="150"/>
      <c r="O37" s="150"/>
      <c r="Q37" s="150"/>
      <c r="R37" s="150"/>
      <c r="S37" s="150"/>
      <c r="U37" s="150" t="s">
        <v>23</v>
      </c>
    </row>
    <row r="38" spans="1:21" ht="16.5">
      <c r="A38" s="236">
        <f>SpieleDB!A37</f>
        <v>36</v>
      </c>
      <c r="B38" s="237">
        <f>SpieleDB!J37</f>
        <v>43253</v>
      </c>
      <c r="C38" s="238">
        <f>SpieleDB!D37</f>
        <v>0.4583333333333333</v>
      </c>
      <c r="D38" s="236" t="str">
        <f>SpieleDB!F37</f>
        <v>Göttinger PC</v>
      </c>
      <c r="E38" s="84" t="s">
        <v>43</v>
      </c>
      <c r="F38" s="236" t="str">
        <f>SpieleDB!G37</f>
        <v>ACC Hamburg</v>
      </c>
      <c r="G38" s="236"/>
      <c r="H38" s="239" t="str">
        <f>Saisondaten!B21</f>
        <v>KC Wetter</v>
      </c>
      <c r="I38" s="84" t="str">
        <f>Saisondaten!C20</f>
        <v>RSV Hannover</v>
      </c>
      <c r="J38" s="84" t="str">
        <f t="shared" si="0"/>
        <v>ja</v>
      </c>
      <c r="L38" s="150"/>
      <c r="M38" s="150"/>
      <c r="N38" s="150"/>
      <c r="O38" s="150"/>
      <c r="Q38" s="150"/>
      <c r="R38" s="150"/>
      <c r="S38" s="150"/>
      <c r="U38" s="150" t="s">
        <v>23</v>
      </c>
    </row>
    <row r="39" spans="1:21" ht="16.5">
      <c r="A39" s="236">
        <f>SpieleDB!A38</f>
        <v>37</v>
      </c>
      <c r="B39" s="237">
        <f>SpieleDB!J38</f>
        <v>43253</v>
      </c>
      <c r="C39" s="238">
        <f>SpieleDB!D38</f>
        <v>0.4895833333333333</v>
      </c>
      <c r="D39" s="236" t="str">
        <f>SpieleDB!F38</f>
        <v>KRM Essen</v>
      </c>
      <c r="E39" s="84" t="s">
        <v>43</v>
      </c>
      <c r="F39" s="236" t="str">
        <f>SpieleDB!G38</f>
        <v>KSV Glauchau</v>
      </c>
      <c r="G39" s="236"/>
      <c r="H39" s="239" t="str">
        <f>Saisondaten!C18</f>
        <v>ACC Hamburg</v>
      </c>
      <c r="I39" s="84" t="str">
        <f>Saisondaten!B23</f>
        <v>Göttinger PC</v>
      </c>
      <c r="J39" s="84" t="str">
        <f t="shared" si="0"/>
        <v>ja</v>
      </c>
      <c r="L39" s="150"/>
      <c r="M39" s="150"/>
      <c r="N39" s="150"/>
      <c r="O39" s="150"/>
      <c r="Q39" s="150"/>
      <c r="R39" s="150"/>
      <c r="S39" s="150"/>
      <c r="U39" s="150" t="s">
        <v>23</v>
      </c>
    </row>
    <row r="40" spans="1:21" ht="16.5">
      <c r="A40" s="236">
        <f>SpieleDB!A39</f>
        <v>38</v>
      </c>
      <c r="B40" s="237">
        <f>SpieleDB!J39</f>
        <v>43253</v>
      </c>
      <c r="C40" s="238">
        <f>SpieleDB!D39</f>
        <v>0.4895833333333333</v>
      </c>
      <c r="D40" s="236" t="str">
        <f>SpieleDB!F39</f>
        <v>WSF Liblar</v>
      </c>
      <c r="E40" s="84" t="s">
        <v>43</v>
      </c>
      <c r="F40" s="236" t="str">
        <f>SpieleDB!G39</f>
        <v>KSVH Berlin</v>
      </c>
      <c r="G40" s="236"/>
      <c r="H40" s="239" t="str">
        <f>Saisondaten!C19</f>
        <v>KCNW Berlin</v>
      </c>
      <c r="I40" s="84" t="str">
        <f>Saisondaten!B22</f>
        <v>KGW Essen</v>
      </c>
      <c r="J40" s="84" t="str">
        <f t="shared" si="0"/>
        <v>ja</v>
      </c>
      <c r="L40" s="150"/>
      <c r="M40" s="150"/>
      <c r="N40" s="150"/>
      <c r="O40" s="150"/>
      <c r="Q40" s="150"/>
      <c r="R40" s="150"/>
      <c r="S40" s="150"/>
      <c r="U40" s="150" t="s">
        <v>23</v>
      </c>
    </row>
    <row r="41" spans="1:21" ht="16.5">
      <c r="A41" s="236">
        <f>SpieleDB!A40</f>
        <v>39</v>
      </c>
      <c r="B41" s="237">
        <f>SpieleDB!J40</f>
        <v>43253</v>
      </c>
      <c r="C41" s="238">
        <f>SpieleDB!D40</f>
        <v>0.5208333333333333</v>
      </c>
      <c r="D41" s="236" t="str">
        <f>SpieleDB!F40</f>
        <v>1. MKC Duisburg</v>
      </c>
      <c r="E41" s="84" t="s">
        <v>43</v>
      </c>
      <c r="F41" s="236" t="str">
        <f>SpieleDB!G40</f>
        <v>RSV Hannover</v>
      </c>
      <c r="G41" s="236"/>
      <c r="H41" s="239" t="str">
        <f>Saisondaten!C18</f>
        <v>ACC Hamburg</v>
      </c>
      <c r="I41" s="84" t="str">
        <f>Saisondaten!B19</f>
        <v>WSF Liblar</v>
      </c>
      <c r="J41" s="84" t="str">
        <f t="shared" si="0"/>
        <v>ja</v>
      </c>
      <c r="L41" s="150"/>
      <c r="M41" s="150"/>
      <c r="N41" s="150"/>
      <c r="O41" s="150"/>
      <c r="Q41" s="150"/>
      <c r="R41" s="150"/>
      <c r="S41" s="150"/>
      <c r="U41" s="150" t="s">
        <v>23</v>
      </c>
    </row>
    <row r="42" spans="1:21" ht="16.5">
      <c r="A42" s="236">
        <f>SpieleDB!A41</f>
        <v>40</v>
      </c>
      <c r="B42" s="237">
        <f>SpieleDB!J41</f>
        <v>43253</v>
      </c>
      <c r="C42" s="238">
        <f>SpieleDB!D41</f>
        <v>0.5208333333333333</v>
      </c>
      <c r="D42" s="236" t="str">
        <f>SpieleDB!F41</f>
        <v>KC Wetter</v>
      </c>
      <c r="E42" s="84" t="s">
        <v>43</v>
      </c>
      <c r="F42" s="236" t="str">
        <f>SpieleDB!G41</f>
        <v>VK Berlin</v>
      </c>
      <c r="G42" s="236"/>
      <c r="H42" s="239" t="str">
        <f>Saisondaten!C19</f>
        <v>KCNW Berlin</v>
      </c>
      <c r="I42" s="84" t="str">
        <f>Saisondaten!B18</f>
        <v>KRM Essen</v>
      </c>
      <c r="J42" s="84" t="str">
        <f t="shared" si="0"/>
        <v>ja</v>
      </c>
      <c r="L42" s="150"/>
      <c r="M42" s="150"/>
      <c r="N42" s="150"/>
      <c r="O42" s="150"/>
      <c r="Q42" s="150"/>
      <c r="R42" s="150"/>
      <c r="S42" s="150"/>
      <c r="U42" s="150" t="s">
        <v>23</v>
      </c>
    </row>
    <row r="43" spans="1:21" ht="16.5">
      <c r="A43" s="236">
        <f>SpieleDB!A42</f>
        <v>41</v>
      </c>
      <c r="B43" s="237">
        <f>SpieleDB!J42</f>
        <v>43253</v>
      </c>
      <c r="C43" s="238">
        <f>SpieleDB!D42</f>
        <v>0.5625</v>
      </c>
      <c r="D43" s="236" t="str">
        <f>SpieleDB!F42</f>
        <v>KGW Essen</v>
      </c>
      <c r="E43" s="84" t="s">
        <v>43</v>
      </c>
      <c r="F43" s="236" t="str">
        <f>SpieleDB!G42</f>
        <v>ACC Hamburg</v>
      </c>
      <c r="G43" s="236"/>
      <c r="H43" s="239" t="str">
        <f>Saisondaten!C23</f>
        <v>KSVH Berlin</v>
      </c>
      <c r="I43" s="84" t="str">
        <f>Saisondaten!B21</f>
        <v>KC Wetter</v>
      </c>
      <c r="J43" s="84" t="str">
        <f t="shared" si="0"/>
        <v>ja</v>
      </c>
      <c r="L43" s="150"/>
      <c r="M43" s="150"/>
      <c r="N43" s="150"/>
      <c r="O43" s="150"/>
      <c r="Q43" s="150"/>
      <c r="R43" s="150"/>
      <c r="S43" s="150"/>
      <c r="U43" s="150" t="s">
        <v>23</v>
      </c>
    </row>
    <row r="44" spans="1:21" ht="16.5">
      <c r="A44" s="236">
        <f>SpieleDB!A43</f>
        <v>42</v>
      </c>
      <c r="B44" s="237">
        <f>SpieleDB!J43</f>
        <v>43253</v>
      </c>
      <c r="C44" s="238">
        <f>SpieleDB!D43</f>
        <v>0.5625</v>
      </c>
      <c r="D44" s="236" t="str">
        <f>SpieleDB!F43</f>
        <v>Göttinger PC</v>
      </c>
      <c r="E44" s="84" t="s">
        <v>43</v>
      </c>
      <c r="F44" s="236" t="str">
        <f>SpieleDB!G43</f>
        <v>KCNW Berlin</v>
      </c>
      <c r="G44" s="236"/>
      <c r="H44" s="84" t="str">
        <f>Saisondaten!C22</f>
        <v>KSV Glauchau</v>
      </c>
      <c r="I44" s="84" t="str">
        <f>Saisondaten!B20</f>
        <v>1. MKC Duisburg</v>
      </c>
      <c r="J44" s="84" t="str">
        <f t="shared" si="0"/>
        <v>ja</v>
      </c>
      <c r="L44" s="150"/>
      <c r="M44" s="150"/>
      <c r="N44" s="150"/>
      <c r="O44" s="150"/>
      <c r="Q44" s="150"/>
      <c r="R44" s="150"/>
      <c r="S44" s="150"/>
      <c r="U44" s="150" t="s">
        <v>23</v>
      </c>
    </row>
    <row r="45" spans="1:21" ht="16.5">
      <c r="A45" s="236">
        <f>SpieleDB!A44</f>
        <v>43</v>
      </c>
      <c r="B45" s="237">
        <f>SpieleDB!J44</f>
        <v>43253</v>
      </c>
      <c r="C45" s="238">
        <f>SpieleDB!D44</f>
        <v>0.59375</v>
      </c>
      <c r="D45" s="236" t="str">
        <f>SpieleDB!F44</f>
        <v>KRM Essen</v>
      </c>
      <c r="E45" s="84" t="s">
        <v>43</v>
      </c>
      <c r="F45" s="236" t="str">
        <f>SpieleDB!G44</f>
        <v>VK Berlin</v>
      </c>
      <c r="G45" s="236"/>
      <c r="H45" s="84" t="str">
        <f>Saisondaten!B23</f>
        <v>Göttinger PC</v>
      </c>
      <c r="I45" s="84" t="str">
        <f>Saisondaten!C23</f>
        <v>KSVH Berlin</v>
      </c>
      <c r="J45" s="84" t="str">
        <f t="shared" si="0"/>
        <v>ja</v>
      </c>
      <c r="L45" s="150"/>
      <c r="M45" s="150"/>
      <c r="N45" s="150"/>
      <c r="O45" s="150"/>
      <c r="Q45" s="150"/>
      <c r="R45" s="150"/>
      <c r="S45" s="150"/>
      <c r="U45" s="150" t="s">
        <v>23</v>
      </c>
    </row>
    <row r="46" spans="1:21" ht="16.5">
      <c r="A46" s="236">
        <f>SpieleDB!A45</f>
        <v>44</v>
      </c>
      <c r="B46" s="237">
        <f>SpieleDB!J45</f>
        <v>43253</v>
      </c>
      <c r="C46" s="238">
        <f>SpieleDB!D45</f>
        <v>0.59375</v>
      </c>
      <c r="D46" s="236" t="str">
        <f>SpieleDB!F45</f>
        <v>WSF Liblar</v>
      </c>
      <c r="E46" s="84" t="s">
        <v>43</v>
      </c>
      <c r="F46" s="236" t="str">
        <f>SpieleDB!G45</f>
        <v>RSV Hannover</v>
      </c>
      <c r="G46" s="236"/>
      <c r="H46" s="84" t="str">
        <f>Saisondaten!B22</f>
        <v>KGW Essen</v>
      </c>
      <c r="I46" s="84" t="str">
        <f>Saisondaten!C22</f>
        <v>KSV Glauchau</v>
      </c>
      <c r="J46" s="84" t="str">
        <f t="shared" si="0"/>
        <v>ja</v>
      </c>
      <c r="L46" s="150"/>
      <c r="M46" s="150"/>
      <c r="N46" s="150"/>
      <c r="O46" s="150"/>
      <c r="Q46" s="150"/>
      <c r="R46" s="150"/>
      <c r="S46" s="150"/>
      <c r="U46" s="150" t="s">
        <v>23</v>
      </c>
    </row>
    <row r="47" spans="1:21" ht="16.5">
      <c r="A47" s="236">
        <f>SpieleDB!A46</f>
        <v>45</v>
      </c>
      <c r="B47" s="237">
        <f>SpieleDB!J46</f>
        <v>43253</v>
      </c>
      <c r="C47" s="238">
        <f>SpieleDB!D46</f>
        <v>0.625</v>
      </c>
      <c r="D47" s="236" t="str">
        <f>SpieleDB!F46</f>
        <v>1. MKC Duisburg</v>
      </c>
      <c r="E47" s="84" t="s">
        <v>43</v>
      </c>
      <c r="F47" s="236" t="str">
        <f>SpieleDB!G46</f>
        <v>KCNW Berlin</v>
      </c>
      <c r="G47" s="236"/>
      <c r="H47" s="84" t="str">
        <f>Saisondaten!B19</f>
        <v>WSF Liblar</v>
      </c>
      <c r="I47" s="84" t="str">
        <f>Saisondaten!C21</f>
        <v>VK Berlin</v>
      </c>
      <c r="J47" s="84" t="str">
        <f t="shared" si="0"/>
        <v>ja</v>
      </c>
      <c r="L47" s="150"/>
      <c r="M47" s="150"/>
      <c r="N47" s="150"/>
      <c r="O47" s="150"/>
      <c r="Q47" s="150"/>
      <c r="R47" s="150"/>
      <c r="S47" s="150"/>
      <c r="U47" s="150" t="s">
        <v>23</v>
      </c>
    </row>
    <row r="48" spans="1:21" ht="16.5">
      <c r="A48" s="236">
        <f>SpieleDB!A47</f>
        <v>46</v>
      </c>
      <c r="B48" s="237">
        <f>SpieleDB!J47</f>
        <v>43253</v>
      </c>
      <c r="C48" s="238">
        <f>SpieleDB!D47</f>
        <v>0.625</v>
      </c>
      <c r="D48" s="236" t="str">
        <f>SpieleDB!F47</f>
        <v>KC Wetter</v>
      </c>
      <c r="E48" s="84" t="s">
        <v>43</v>
      </c>
      <c r="F48" s="236" t="str">
        <f>SpieleDB!G47</f>
        <v>ACC Hamburg</v>
      </c>
      <c r="G48" s="236"/>
      <c r="H48" s="84" t="str">
        <f>Saisondaten!B18</f>
        <v>KRM Essen</v>
      </c>
      <c r="I48" s="84" t="str">
        <f>Saisondaten!C20</f>
        <v>RSV Hannover</v>
      </c>
      <c r="J48" s="84" t="str">
        <f t="shared" si="0"/>
        <v>ja</v>
      </c>
      <c r="L48" s="150"/>
      <c r="M48" s="150"/>
      <c r="N48" s="150"/>
      <c r="O48" s="150"/>
      <c r="Q48" s="150"/>
      <c r="R48" s="150"/>
      <c r="S48" s="150"/>
      <c r="U48" s="150" t="s">
        <v>23</v>
      </c>
    </row>
    <row r="49" spans="1:21" ht="16.5">
      <c r="A49" s="236">
        <f>SpieleDB!A48</f>
        <v>47</v>
      </c>
      <c r="B49" s="237">
        <f>SpieleDB!J48</f>
        <v>43253</v>
      </c>
      <c r="C49" s="238">
        <f>SpieleDB!D48</f>
        <v>0.65625</v>
      </c>
      <c r="D49" s="236" t="str">
        <f>SpieleDB!F48</f>
        <v>KGW Essen</v>
      </c>
      <c r="E49" s="84" t="s">
        <v>43</v>
      </c>
      <c r="F49" s="236" t="str">
        <f>SpieleDB!G48</f>
        <v>KSVH Berlin</v>
      </c>
      <c r="G49" s="236"/>
      <c r="H49" s="84" t="str">
        <f>Saisondaten!B21</f>
        <v>KC Wetter</v>
      </c>
      <c r="I49" s="84" t="str">
        <f>Saisondaten!C19</f>
        <v>KCNW Berlin</v>
      </c>
      <c r="J49" s="84" t="str">
        <f t="shared" si="0"/>
        <v>ja</v>
      </c>
      <c r="L49" s="150"/>
      <c r="M49" s="150"/>
      <c r="N49" s="150"/>
      <c r="O49" s="150"/>
      <c r="Q49" s="150"/>
      <c r="R49" s="150"/>
      <c r="S49" s="150"/>
      <c r="U49" s="150" t="s">
        <v>23</v>
      </c>
    </row>
    <row r="50" spans="1:21" ht="16.5">
      <c r="A50" s="236">
        <f>SpieleDB!A49</f>
        <v>48</v>
      </c>
      <c r="B50" s="237">
        <f>SpieleDB!J49</f>
        <v>43253</v>
      </c>
      <c r="C50" s="238">
        <f>SpieleDB!D49</f>
        <v>0.65625</v>
      </c>
      <c r="D50" s="236" t="str">
        <f>SpieleDB!F49</f>
        <v>Göttinger PC</v>
      </c>
      <c r="E50" s="84" t="s">
        <v>43</v>
      </c>
      <c r="F50" s="236" t="str">
        <f>SpieleDB!G49</f>
        <v>KSV Glauchau</v>
      </c>
      <c r="G50" s="236"/>
      <c r="H50" s="84" t="str">
        <f>Saisondaten!B20</f>
        <v>1. MKC Duisburg</v>
      </c>
      <c r="I50" s="84" t="str">
        <f>Saisondaten!C18</f>
        <v>ACC Hamburg</v>
      </c>
      <c r="J50" s="84" t="str">
        <f t="shared" si="0"/>
        <v>ja</v>
      </c>
      <c r="L50" s="150"/>
      <c r="M50" s="150"/>
      <c r="N50" s="150"/>
      <c r="O50" s="150"/>
      <c r="Q50" s="150"/>
      <c r="R50" s="150"/>
      <c r="S50" s="150"/>
      <c r="U50" s="150" t="s">
        <v>23</v>
      </c>
    </row>
    <row r="51" spans="1:21" ht="16.5">
      <c r="A51" s="236">
        <f>SpieleDB!A50</f>
        <v>49</v>
      </c>
      <c r="B51" s="237">
        <f>SpieleDB!J50</f>
        <v>43253</v>
      </c>
      <c r="C51" s="238">
        <f>SpieleDB!D50</f>
        <v>0.6875</v>
      </c>
      <c r="D51" s="236" t="str">
        <f>SpieleDB!F50</f>
        <v>KRM Essen</v>
      </c>
      <c r="E51" s="84" t="s">
        <v>43</v>
      </c>
      <c r="F51" s="236" t="str">
        <f>SpieleDB!G50</f>
        <v>RSV Hannover</v>
      </c>
      <c r="G51" s="236"/>
      <c r="H51" s="84" t="str">
        <f>Saisondaten!C23</f>
        <v>KSVH Berlin</v>
      </c>
      <c r="I51" s="84" t="str">
        <f>Saisondaten!B22</f>
        <v>KGW Essen</v>
      </c>
      <c r="J51" s="84" t="str">
        <f t="shared" si="0"/>
        <v>ja</v>
      </c>
      <c r="L51" s="150"/>
      <c r="M51" s="150"/>
      <c r="N51" s="150"/>
      <c r="O51" s="150"/>
      <c r="Q51" s="150"/>
      <c r="R51" s="150"/>
      <c r="S51" s="150"/>
      <c r="U51" s="150" t="s">
        <v>23</v>
      </c>
    </row>
    <row r="52" spans="1:21" ht="16.5">
      <c r="A52" s="236">
        <f>SpieleDB!A51</f>
        <v>50</v>
      </c>
      <c r="B52" s="237">
        <f>SpieleDB!J51</f>
        <v>43253</v>
      </c>
      <c r="C52" s="238">
        <f>SpieleDB!D51</f>
        <v>0.6875</v>
      </c>
      <c r="D52" s="236" t="str">
        <f>SpieleDB!F51</f>
        <v>WSF Liblar</v>
      </c>
      <c r="E52" s="84" t="s">
        <v>43</v>
      </c>
      <c r="F52" s="236" t="str">
        <f>SpieleDB!G51</f>
        <v>VK Berlin</v>
      </c>
      <c r="G52" s="236"/>
      <c r="H52" s="84" t="str">
        <f>Saisondaten!C22</f>
        <v>KSV Glauchau</v>
      </c>
      <c r="I52" s="84" t="str">
        <f>Saisondaten!B23</f>
        <v>Göttinger PC</v>
      </c>
      <c r="J52" s="84" t="str">
        <f t="shared" si="0"/>
        <v>ja</v>
      </c>
      <c r="L52" s="150"/>
      <c r="M52" s="150"/>
      <c r="N52" s="150"/>
      <c r="O52" s="150"/>
      <c r="Q52" s="150"/>
      <c r="R52" s="150"/>
      <c r="S52" s="150"/>
      <c r="U52" s="150" t="s">
        <v>23</v>
      </c>
    </row>
    <row r="53" spans="1:21" ht="16.5">
      <c r="A53" s="236">
        <f>SpieleDB!A52</f>
        <v>51</v>
      </c>
      <c r="B53" s="237">
        <f>SpieleDB!J52</f>
        <v>43253</v>
      </c>
      <c r="C53" s="238">
        <f>SpieleDB!D52</f>
        <v>0.71875</v>
      </c>
      <c r="D53" s="236" t="str">
        <f>SpieleDB!F52</f>
        <v>1. MKC Duisburg</v>
      </c>
      <c r="E53" s="84" t="s">
        <v>43</v>
      </c>
      <c r="F53" s="236" t="str">
        <f>SpieleDB!G52</f>
        <v>ACC Hamburg</v>
      </c>
      <c r="G53" s="236"/>
      <c r="H53" s="84" t="str">
        <f>Saisondaten!C20</f>
        <v>RSV Hannover</v>
      </c>
      <c r="I53" s="84" t="str">
        <f>Saisondaten!B18</f>
        <v>KRM Essen</v>
      </c>
      <c r="J53" s="84" t="str">
        <f t="shared" si="0"/>
        <v>ja</v>
      </c>
      <c r="L53" s="150"/>
      <c r="M53" s="150"/>
      <c r="N53" s="150"/>
      <c r="O53" s="150"/>
      <c r="Q53" s="150"/>
      <c r="R53" s="150"/>
      <c r="S53" s="150"/>
      <c r="U53" s="150" t="s">
        <v>23</v>
      </c>
    </row>
    <row r="54" spans="1:21" ht="16.5">
      <c r="A54" s="236">
        <f>SpieleDB!A53</f>
        <v>52</v>
      </c>
      <c r="B54" s="237">
        <f>SpieleDB!J53</f>
        <v>43253</v>
      </c>
      <c r="C54" s="238">
        <f>SpieleDB!D53</f>
        <v>0.71875</v>
      </c>
      <c r="D54" s="236" t="str">
        <f>SpieleDB!F53</f>
        <v>KC Wetter</v>
      </c>
      <c r="E54" s="84" t="s">
        <v>43</v>
      </c>
      <c r="F54" s="236" t="str">
        <f>SpieleDB!G53</f>
        <v>KCNW Berlin</v>
      </c>
      <c r="G54" s="236"/>
      <c r="H54" s="84" t="str">
        <f>Saisondaten!C21</f>
        <v>VK Berlin</v>
      </c>
      <c r="I54" s="84" t="str">
        <f>Saisondaten!B19</f>
        <v>WSF Liblar</v>
      </c>
      <c r="J54" s="84" t="str">
        <f t="shared" si="0"/>
        <v>ja</v>
      </c>
      <c r="L54" s="150"/>
      <c r="M54" s="150"/>
      <c r="N54" s="150"/>
      <c r="O54" s="150"/>
      <c r="Q54" s="150"/>
      <c r="R54" s="150"/>
      <c r="S54" s="150"/>
      <c r="U54" s="150" t="s">
        <v>23</v>
      </c>
    </row>
    <row r="55" spans="1:21" ht="16.5">
      <c r="A55" s="236">
        <f>SpieleDB!A54</f>
        <v>53</v>
      </c>
      <c r="B55" s="237">
        <f>SpieleDB!J54</f>
        <v>43253</v>
      </c>
      <c r="C55" s="238">
        <f>SpieleDB!D54</f>
        <v>0.75</v>
      </c>
      <c r="D55" s="236" t="str">
        <f>SpieleDB!F54</f>
        <v>KGW Essen</v>
      </c>
      <c r="E55" s="84" t="s">
        <v>43</v>
      </c>
      <c r="F55" s="236" t="str">
        <f>SpieleDB!G54</f>
        <v>KSV Glauchau</v>
      </c>
      <c r="G55" s="236"/>
      <c r="H55" s="84" t="str">
        <f>Saisondaten!C20</f>
        <v>RSV Hannover</v>
      </c>
      <c r="I55" s="84" t="str">
        <f>Saisondaten!B20</f>
        <v>1. MKC Duisburg</v>
      </c>
      <c r="J55" s="84" t="str">
        <f t="shared" si="0"/>
        <v>ja</v>
      </c>
      <c r="L55" s="150"/>
      <c r="M55" s="150"/>
      <c r="N55" s="150"/>
      <c r="O55" s="150"/>
      <c r="Q55" s="150"/>
      <c r="R55" s="150"/>
      <c r="S55" s="150"/>
      <c r="U55" s="150" t="s">
        <v>23</v>
      </c>
    </row>
    <row r="56" spans="1:21" ht="16.5">
      <c r="A56" s="236">
        <f>SpieleDB!A55</f>
        <v>54</v>
      </c>
      <c r="B56" s="237">
        <f>SpieleDB!J55</f>
        <v>43253</v>
      </c>
      <c r="C56" s="238">
        <f>SpieleDB!D55</f>
        <v>0.75</v>
      </c>
      <c r="D56" s="236" t="str">
        <f>SpieleDB!F55</f>
        <v>Göttinger PC</v>
      </c>
      <c r="E56" s="84" t="s">
        <v>43</v>
      </c>
      <c r="F56" s="236" t="str">
        <f>SpieleDB!G55</f>
        <v>KSVH Berlin</v>
      </c>
      <c r="G56" s="236"/>
      <c r="H56" s="84" t="str">
        <f>Saisondaten!C21</f>
        <v>VK Berlin</v>
      </c>
      <c r="I56" s="84" t="str">
        <f>Saisondaten!B21</f>
        <v>KC Wetter</v>
      </c>
      <c r="J56" s="84" t="str">
        <f t="shared" si="0"/>
        <v>ja</v>
      </c>
      <c r="L56" s="150"/>
      <c r="M56" s="150"/>
      <c r="N56" s="150"/>
      <c r="O56" s="150"/>
      <c r="Q56" s="150"/>
      <c r="R56" s="150"/>
      <c r="S56" s="150"/>
      <c r="U56" s="150" t="s">
        <v>23</v>
      </c>
    </row>
    <row r="57" spans="1:21" ht="16.5">
      <c r="A57" s="236">
        <f>SpieleDB!A56</f>
        <v>55</v>
      </c>
      <c r="B57" s="237">
        <f>SpieleDB!J56</f>
        <v>43254</v>
      </c>
      <c r="C57" s="238">
        <f>SpieleDB!D56</f>
        <v>0.3854166666666667</v>
      </c>
      <c r="D57" s="236" t="str">
        <f>SpieleDB!F56</f>
        <v>KGW Essen</v>
      </c>
      <c r="E57" s="84" t="s">
        <v>43</v>
      </c>
      <c r="F57" s="236" t="str">
        <f>SpieleDB!G56</f>
        <v>VK Berlin</v>
      </c>
      <c r="G57" s="236"/>
      <c r="H57" s="84" t="str">
        <f>Saisondaten!B18</f>
        <v>KRM Essen</v>
      </c>
      <c r="I57" s="84" t="str">
        <f>Saisondaten!C19</f>
        <v>KCNW Berlin</v>
      </c>
      <c r="J57" s="84" t="str">
        <f t="shared" si="0"/>
        <v>ja</v>
      </c>
      <c r="L57" s="150"/>
      <c r="M57" s="150"/>
      <c r="N57" s="150"/>
      <c r="O57" s="150"/>
      <c r="Q57" s="150"/>
      <c r="R57" s="150"/>
      <c r="S57" s="150"/>
      <c r="U57" s="150" t="s">
        <v>23</v>
      </c>
    </row>
    <row r="58" spans="1:21" ht="16.5">
      <c r="A58" s="236">
        <f>SpieleDB!A57</f>
        <v>56</v>
      </c>
      <c r="B58" s="237">
        <f>SpieleDB!J57</f>
        <v>43254</v>
      </c>
      <c r="C58" s="238">
        <f>SpieleDB!D57</f>
        <v>0.3854166666666667</v>
      </c>
      <c r="D58" s="236" t="str">
        <f>SpieleDB!F57</f>
        <v>Göttinger PC</v>
      </c>
      <c r="E58" s="84" t="s">
        <v>43</v>
      </c>
      <c r="F58" s="236" t="str">
        <f>SpieleDB!G57</f>
        <v>RSV Hannover</v>
      </c>
      <c r="G58" s="236"/>
      <c r="H58" s="84" t="str">
        <f>Saisondaten!B19</f>
        <v>WSF Liblar</v>
      </c>
      <c r="I58" s="84" t="str">
        <f>Saisondaten!C18</f>
        <v>ACC Hamburg</v>
      </c>
      <c r="J58" s="84" t="str">
        <f t="shared" si="0"/>
        <v>ja</v>
      </c>
      <c r="L58" s="150"/>
      <c r="M58" s="150"/>
      <c r="N58" s="150"/>
      <c r="O58" s="150"/>
      <c r="Q58" s="150"/>
      <c r="R58" s="150"/>
      <c r="S58" s="150"/>
      <c r="U58" s="150" t="s">
        <v>23</v>
      </c>
    </row>
    <row r="59" spans="1:21" ht="16.5">
      <c r="A59" s="236">
        <f>SpieleDB!A58</f>
        <v>57</v>
      </c>
      <c r="B59" s="237">
        <f>SpieleDB!J58</f>
        <v>43254</v>
      </c>
      <c r="C59" s="238">
        <f>SpieleDB!D58</f>
        <v>0.4583333333333333</v>
      </c>
      <c r="D59" s="236" t="str">
        <f>SpieleDB!F58</f>
        <v>1. MKC Duisburg</v>
      </c>
      <c r="E59" s="84" t="s">
        <v>43</v>
      </c>
      <c r="F59" s="236" t="str">
        <f>SpieleDB!G58</f>
        <v>KSVH Berlin</v>
      </c>
      <c r="G59" s="236"/>
      <c r="H59" s="84" t="str">
        <f>Saisondaten!B22</f>
        <v>KGW Essen</v>
      </c>
      <c r="I59" s="84" t="str">
        <f>Saisondaten!C20</f>
        <v>RSV Hannover</v>
      </c>
      <c r="J59" s="84" t="str">
        <f t="shared" si="0"/>
        <v>ja</v>
      </c>
      <c r="L59" s="150"/>
      <c r="M59" s="150"/>
      <c r="N59" s="150"/>
      <c r="O59" s="150"/>
      <c r="Q59" s="150"/>
      <c r="R59" s="150"/>
      <c r="S59" s="150"/>
      <c r="U59" s="150" t="s">
        <v>23</v>
      </c>
    </row>
    <row r="60" spans="1:21" ht="16.5">
      <c r="A60" s="236">
        <f>SpieleDB!A59</f>
        <v>58</v>
      </c>
      <c r="B60" s="237">
        <f>SpieleDB!J59</f>
        <v>43254</v>
      </c>
      <c r="C60" s="238">
        <f>SpieleDB!D59</f>
        <v>0.4583333333333333</v>
      </c>
      <c r="D60" s="236" t="str">
        <f>SpieleDB!F59</f>
        <v>KC Wetter</v>
      </c>
      <c r="E60" s="84" t="s">
        <v>43</v>
      </c>
      <c r="F60" s="236" t="str">
        <f>SpieleDB!G59</f>
        <v>KSV Glauchau</v>
      </c>
      <c r="G60" s="236"/>
      <c r="H60" s="84" t="str">
        <f>Saisondaten!B23</f>
        <v>Göttinger PC</v>
      </c>
      <c r="I60" s="84" t="str">
        <f>Saisondaten!C21</f>
        <v>VK Berlin</v>
      </c>
      <c r="J60" s="84" t="str">
        <f t="shared" si="0"/>
        <v>ja</v>
      </c>
      <c r="L60" s="150"/>
      <c r="M60" s="150"/>
      <c r="N60" s="150"/>
      <c r="O60" s="150"/>
      <c r="Q60" s="150"/>
      <c r="R60" s="150"/>
      <c r="S60" s="150"/>
      <c r="U60" s="150" t="s">
        <v>23</v>
      </c>
    </row>
    <row r="61" spans="1:21" ht="16.5">
      <c r="A61" s="236">
        <f>SpieleDB!A60</f>
        <v>59</v>
      </c>
      <c r="B61" s="237">
        <f>SpieleDB!J60</f>
        <v>43254</v>
      </c>
      <c r="C61" s="238">
        <f>SpieleDB!D60</f>
        <v>0.4895833333333333</v>
      </c>
      <c r="D61" s="236" t="str">
        <f>SpieleDB!F60</f>
        <v>KRM Essen</v>
      </c>
      <c r="E61" s="84" t="s">
        <v>43</v>
      </c>
      <c r="F61" s="236" t="str">
        <f>SpieleDB!G60</f>
        <v>KCNW Berlin</v>
      </c>
      <c r="G61" s="236"/>
      <c r="H61" s="84" t="str">
        <f>Saisondaten!B20</f>
        <v>1. MKC Duisburg</v>
      </c>
      <c r="I61" s="84" t="str">
        <f>Saisondaten!C23</f>
        <v>KSVH Berlin</v>
      </c>
      <c r="J61" s="84" t="str">
        <f t="shared" si="0"/>
        <v>ja</v>
      </c>
      <c r="L61" s="150"/>
      <c r="M61" s="150"/>
      <c r="N61" s="150"/>
      <c r="O61" s="150"/>
      <c r="Q61" s="150"/>
      <c r="R61" s="150"/>
      <c r="S61" s="150"/>
      <c r="U61" s="150" t="s">
        <v>23</v>
      </c>
    </row>
    <row r="62" spans="1:21" ht="16.5">
      <c r="A62" s="236">
        <f>SpieleDB!A61</f>
        <v>60</v>
      </c>
      <c r="B62" s="237">
        <f>SpieleDB!J61</f>
        <v>43254</v>
      </c>
      <c r="C62" s="238">
        <f>SpieleDB!D61</f>
        <v>0.4895833333333333</v>
      </c>
      <c r="D62" s="236" t="str">
        <f>SpieleDB!F61</f>
        <v>WSF Liblar</v>
      </c>
      <c r="E62" s="84" t="s">
        <v>43</v>
      </c>
      <c r="F62" s="236" t="str">
        <f>SpieleDB!G61</f>
        <v>ACC Hamburg</v>
      </c>
      <c r="G62" s="236"/>
      <c r="H62" s="84" t="str">
        <f>Saisondaten!B21</f>
        <v>KC Wetter</v>
      </c>
      <c r="I62" s="84" t="str">
        <f>Saisondaten!C22</f>
        <v>KSV Glauchau</v>
      </c>
      <c r="J62" s="84" t="str">
        <f t="shared" si="0"/>
        <v>ja</v>
      </c>
      <c r="L62" s="150"/>
      <c r="M62" s="150"/>
      <c r="N62" s="150"/>
      <c r="O62" s="150"/>
      <c r="Q62" s="150"/>
      <c r="R62" s="150"/>
      <c r="S62" s="150"/>
      <c r="U62" s="150" t="s">
        <v>23</v>
      </c>
    </row>
    <row r="63" spans="1:21" ht="16.5">
      <c r="A63" s="236">
        <f>SpieleDB!A62</f>
        <v>61</v>
      </c>
      <c r="B63" s="237">
        <f>SpieleDB!J62</f>
        <v>43254</v>
      </c>
      <c r="C63" s="238">
        <f>SpieleDB!D62</f>
        <v>0.53125</v>
      </c>
      <c r="D63" s="236" t="str">
        <f>SpieleDB!F62</f>
        <v>KGW Essen</v>
      </c>
      <c r="E63" s="84" t="s">
        <v>43</v>
      </c>
      <c r="F63" s="236" t="str">
        <f>SpieleDB!G62</f>
        <v>RSV Hannover</v>
      </c>
      <c r="G63" s="236"/>
      <c r="H63" s="84" t="str">
        <f>Saisondaten!C19</f>
        <v>KCNW Berlin</v>
      </c>
      <c r="I63" s="84" t="str">
        <f>Saisondaten!B19</f>
        <v>WSF Liblar</v>
      </c>
      <c r="J63" s="84" t="str">
        <f t="shared" si="0"/>
        <v>ja</v>
      </c>
      <c r="L63" s="150"/>
      <c r="M63" s="150"/>
      <c r="N63" s="150"/>
      <c r="O63" s="150"/>
      <c r="Q63" s="150"/>
      <c r="R63" s="150"/>
      <c r="S63" s="150"/>
      <c r="U63" s="150" t="s">
        <v>23</v>
      </c>
    </row>
    <row r="64" spans="1:21" ht="16.5">
      <c r="A64" s="236">
        <f>SpieleDB!A63</f>
        <v>62</v>
      </c>
      <c r="B64" s="237">
        <f>SpieleDB!J63</f>
        <v>43254</v>
      </c>
      <c r="C64" s="238">
        <f>SpieleDB!D63</f>
        <v>0.53125</v>
      </c>
      <c r="D64" s="236" t="str">
        <f>SpieleDB!F63</f>
        <v>Göttinger PC</v>
      </c>
      <c r="E64" s="84" t="s">
        <v>43</v>
      </c>
      <c r="F64" s="236" t="str">
        <f>SpieleDB!G63</f>
        <v>VK Berlin</v>
      </c>
      <c r="G64" s="236"/>
      <c r="H64" s="84" t="str">
        <f>Saisondaten!C18</f>
        <v>ACC Hamburg</v>
      </c>
      <c r="I64" s="84" t="str">
        <f>Saisondaten!B18</f>
        <v>KRM Essen</v>
      </c>
      <c r="J64" s="84" t="str">
        <f t="shared" si="0"/>
        <v>ja</v>
      </c>
      <c r="L64" s="150"/>
      <c r="M64" s="150"/>
      <c r="N64" s="150"/>
      <c r="O64" s="150"/>
      <c r="Q64" s="150"/>
      <c r="R64" s="150"/>
      <c r="S64" s="150"/>
      <c r="U64" s="150" t="s">
        <v>23</v>
      </c>
    </row>
    <row r="65" spans="1:21" ht="16.5">
      <c r="A65" s="236">
        <f>SpieleDB!A64</f>
        <v>63</v>
      </c>
      <c r="B65" s="237">
        <f>SpieleDB!J64</f>
        <v>43254</v>
      </c>
      <c r="C65" s="238">
        <f>SpieleDB!D64</f>
        <v>0.5625</v>
      </c>
      <c r="D65" s="236" t="str">
        <f>SpieleDB!F64</f>
        <v>1. MKC Duisburg</v>
      </c>
      <c r="E65" s="84" t="s">
        <v>43</v>
      </c>
      <c r="F65" s="236" t="str">
        <f>SpieleDB!G64</f>
        <v>KSV Glauchau</v>
      </c>
      <c r="G65" s="236"/>
      <c r="H65" s="84" t="str">
        <f>Saisondaten!C20</f>
        <v>RSV Hannover</v>
      </c>
      <c r="I65" s="84" t="str">
        <f>Saisondaten!B23</f>
        <v>Göttinger PC</v>
      </c>
      <c r="J65" s="84" t="str">
        <f t="shared" si="0"/>
        <v>ja</v>
      </c>
      <c r="L65" s="150"/>
      <c r="M65" s="150"/>
      <c r="N65" s="150"/>
      <c r="O65" s="150"/>
      <c r="Q65" s="150"/>
      <c r="R65" s="150"/>
      <c r="S65" s="150"/>
      <c r="U65" s="150" t="s">
        <v>23</v>
      </c>
    </row>
    <row r="66" spans="1:21" ht="16.5">
      <c r="A66" s="236">
        <f>SpieleDB!A65</f>
        <v>64</v>
      </c>
      <c r="B66" s="237">
        <f>SpieleDB!J65</f>
        <v>43254</v>
      </c>
      <c r="C66" s="238">
        <f>SpieleDB!D65</f>
        <v>0.5625</v>
      </c>
      <c r="D66" s="236" t="str">
        <f>SpieleDB!F65</f>
        <v>KC Wetter</v>
      </c>
      <c r="E66" s="84" t="s">
        <v>43</v>
      </c>
      <c r="F66" s="236" t="str">
        <f>SpieleDB!G65</f>
        <v>KSVH Berlin</v>
      </c>
      <c r="G66" s="236"/>
      <c r="H66" s="84" t="str">
        <f>Saisondaten!C21</f>
        <v>VK Berlin</v>
      </c>
      <c r="I66" s="84" t="str">
        <f>Saisondaten!B22</f>
        <v>KGW Essen</v>
      </c>
      <c r="J66" s="84" t="str">
        <f t="shared" si="0"/>
        <v>ja</v>
      </c>
      <c r="L66" s="150"/>
      <c r="M66" s="150"/>
      <c r="N66" s="150"/>
      <c r="O66" s="150"/>
      <c r="Q66" s="150"/>
      <c r="R66" s="150"/>
      <c r="S66" s="150"/>
      <c r="U66" s="150" t="s">
        <v>23</v>
      </c>
    </row>
    <row r="67" spans="1:21" ht="16.5">
      <c r="A67" s="236">
        <f>SpieleDB!A66</f>
        <v>65</v>
      </c>
      <c r="B67" s="237">
        <f>SpieleDB!J66</f>
        <v>43254</v>
      </c>
      <c r="C67" s="238">
        <f>SpieleDB!D66</f>
        <v>0.59375</v>
      </c>
      <c r="D67" s="236" t="str">
        <f>SpieleDB!F66</f>
        <v>WSF Liblar</v>
      </c>
      <c r="E67" s="84" t="s">
        <v>43</v>
      </c>
      <c r="F67" s="236" t="str">
        <f>SpieleDB!G66</f>
        <v>KCNW Berlin</v>
      </c>
      <c r="G67" s="236"/>
      <c r="H67" s="84" t="str">
        <f>Saisondaten!C22</f>
        <v>KSV Glauchau</v>
      </c>
      <c r="I67" s="84" t="str">
        <f>Saisondaten!B21</f>
        <v>KC Wetter</v>
      </c>
      <c r="J67" s="84" t="str">
        <f t="shared" si="0"/>
        <v>ja</v>
      </c>
      <c r="L67" s="150"/>
      <c r="M67" s="150"/>
      <c r="N67" s="150"/>
      <c r="O67" s="150"/>
      <c r="Q67" s="150"/>
      <c r="R67" s="150"/>
      <c r="S67" s="150"/>
      <c r="U67" s="150" t="s">
        <v>23</v>
      </c>
    </row>
    <row r="68" spans="1:21" ht="16.5">
      <c r="A68" s="236">
        <f>SpieleDB!A67</f>
        <v>66</v>
      </c>
      <c r="B68" s="237">
        <f>SpieleDB!J67</f>
        <v>43254</v>
      </c>
      <c r="C68" s="238">
        <f>SpieleDB!D67</f>
        <v>0.59375</v>
      </c>
      <c r="D68" s="236" t="str">
        <f>SpieleDB!F67</f>
        <v>KRM Essen</v>
      </c>
      <c r="E68" s="84" t="s">
        <v>43</v>
      </c>
      <c r="F68" s="236" t="str">
        <f>SpieleDB!G67</f>
        <v>ACC Hamburg</v>
      </c>
      <c r="G68" s="236"/>
      <c r="H68" s="84" t="str">
        <f>Saisondaten!C23</f>
        <v>KSVH Berlin</v>
      </c>
      <c r="I68" s="84" t="str">
        <f>Saisondaten!B20</f>
        <v>1. MKC Duisburg</v>
      </c>
      <c r="J68" s="84" t="str">
        <f aca="true" t="shared" si="1" ref="J68:J131">IF(OR(OR(H68="",D68=H68),OR(I68="",F68=I68)),"nein","ja")</f>
        <v>ja</v>
      </c>
      <c r="L68" s="150"/>
      <c r="M68" s="150"/>
      <c r="N68" s="150"/>
      <c r="O68" s="150"/>
      <c r="Q68" s="150"/>
      <c r="R68" s="150"/>
      <c r="S68" s="150"/>
      <c r="U68" s="150" t="s">
        <v>23</v>
      </c>
    </row>
    <row r="69" spans="1:21" ht="16.5">
      <c r="A69" s="236">
        <f>SpieleDB!A68</f>
        <v>67</v>
      </c>
      <c r="B69" s="237">
        <f>SpieleDB!J68</f>
        <v>43281</v>
      </c>
      <c r="C69" s="238">
        <f>SpieleDB!D68</f>
        <v>0.4166666666666667</v>
      </c>
      <c r="D69" s="236" t="str">
        <f>SpieleDB!F68</f>
        <v>KRM Essen</v>
      </c>
      <c r="E69" s="84" t="s">
        <v>43</v>
      </c>
      <c r="F69" s="236" t="str">
        <f>SpieleDB!G68</f>
        <v>KC Wetter</v>
      </c>
      <c r="G69" s="236"/>
      <c r="H69" s="84" t="str">
        <f>Saisondaten!B29</f>
        <v>WSF Liblar</v>
      </c>
      <c r="I69" s="84" t="str">
        <f>Saisondaten!B31</f>
        <v>KGW Essen</v>
      </c>
      <c r="J69" s="84" t="str">
        <f t="shared" si="1"/>
        <v>ja</v>
      </c>
      <c r="L69" s="150"/>
      <c r="M69" s="150"/>
      <c r="N69" s="150"/>
      <c r="O69" s="150"/>
      <c r="Q69" s="150"/>
      <c r="R69" s="150"/>
      <c r="S69" s="150"/>
      <c r="U69" s="150" t="s">
        <v>23</v>
      </c>
    </row>
    <row r="70" spans="1:21" ht="16.5">
      <c r="A70" s="236">
        <f>SpieleDB!A69</f>
        <v>68</v>
      </c>
      <c r="B70" s="237">
        <f>SpieleDB!J69</f>
        <v>43281</v>
      </c>
      <c r="C70" s="238">
        <f>SpieleDB!D69</f>
        <v>0.4479166666666667</v>
      </c>
      <c r="D70" s="236" t="str">
        <f>SpieleDB!F69</f>
        <v>1. MKC Duisburg</v>
      </c>
      <c r="E70" s="84" t="s">
        <v>43</v>
      </c>
      <c r="F70" s="236" t="str">
        <f>SpieleDB!G69</f>
        <v>Göttinger PC</v>
      </c>
      <c r="G70" s="236"/>
      <c r="H70" s="84" t="str">
        <f>Saisondaten!B32</f>
        <v>KC Wetter</v>
      </c>
      <c r="I70" s="84" t="str">
        <f>Saisondaten!B28</f>
        <v>KRM Essen</v>
      </c>
      <c r="J70" s="84" t="str">
        <f t="shared" si="1"/>
        <v>ja</v>
      </c>
      <c r="L70" s="150"/>
      <c r="M70" s="150"/>
      <c r="N70" s="150"/>
      <c r="O70" s="150"/>
      <c r="Q70" s="150"/>
      <c r="R70" s="150"/>
      <c r="S70" s="150"/>
      <c r="U70" s="150" t="s">
        <v>23</v>
      </c>
    </row>
    <row r="71" spans="1:21" ht="16.5">
      <c r="A71" s="236">
        <f>SpieleDB!A70</f>
        <v>69</v>
      </c>
      <c r="B71" s="237">
        <f>SpieleDB!J70</f>
        <v>43281</v>
      </c>
      <c r="C71" s="238">
        <f>SpieleDB!D70</f>
        <v>0.4791666666666667</v>
      </c>
      <c r="D71" s="236" t="str">
        <f>SpieleDB!F70</f>
        <v>WSF Liblar</v>
      </c>
      <c r="E71" s="84" t="s">
        <v>43</v>
      </c>
      <c r="F71" s="236" t="str">
        <f>SpieleDB!G70</f>
        <v>KGW Essen</v>
      </c>
      <c r="G71" s="236"/>
      <c r="H71" s="84" t="str">
        <f>Saisondaten!B30</f>
        <v>1. MKC Duisburg</v>
      </c>
      <c r="I71" s="84" t="str">
        <f>Saisondaten!B33</f>
        <v>Göttinger PC</v>
      </c>
      <c r="J71" s="84" t="str">
        <f t="shared" si="1"/>
        <v>ja</v>
      </c>
      <c r="L71" s="150"/>
      <c r="M71" s="150"/>
      <c r="N71" s="150"/>
      <c r="O71" s="150"/>
      <c r="Q71" s="150"/>
      <c r="R71" s="150"/>
      <c r="S71" s="150"/>
      <c r="U71" s="150" t="s">
        <v>23</v>
      </c>
    </row>
    <row r="72" spans="1:21" ht="16.5">
      <c r="A72" s="236">
        <f>SpieleDB!A71</f>
        <v>70</v>
      </c>
      <c r="B72" s="237">
        <f>SpieleDB!J71</f>
        <v>43281</v>
      </c>
      <c r="C72" s="238">
        <f>SpieleDB!D71</f>
        <v>0.53125</v>
      </c>
      <c r="D72" s="236" t="str">
        <f>SpieleDB!F71</f>
        <v>1. MKC Duisburg</v>
      </c>
      <c r="E72" s="84" t="s">
        <v>43</v>
      </c>
      <c r="F72" s="236" t="str">
        <f>SpieleDB!G71</f>
        <v>KC Wetter</v>
      </c>
      <c r="G72" s="236"/>
      <c r="H72" s="84" t="str">
        <f>Saisondaten!B33</f>
        <v>Göttinger PC</v>
      </c>
      <c r="I72" s="84" t="str">
        <f>Saisondaten!B29</f>
        <v>WSF Liblar</v>
      </c>
      <c r="J72" s="84" t="str">
        <f t="shared" si="1"/>
        <v>ja</v>
      </c>
      <c r="L72" s="150"/>
      <c r="M72" s="150"/>
      <c r="N72" s="150"/>
      <c r="O72" s="150"/>
      <c r="Q72" s="150"/>
      <c r="R72" s="150"/>
      <c r="S72" s="150"/>
      <c r="U72" s="150" t="s">
        <v>23</v>
      </c>
    </row>
    <row r="73" spans="1:21" ht="16.5">
      <c r="A73" s="236">
        <f>SpieleDB!A72</f>
        <v>71</v>
      </c>
      <c r="B73" s="237">
        <f>SpieleDB!J72</f>
        <v>43281</v>
      </c>
      <c r="C73" s="238">
        <f>SpieleDB!D72</f>
        <v>0.5625</v>
      </c>
      <c r="D73" s="236" t="str">
        <f>SpieleDB!F72</f>
        <v>KRM Essen</v>
      </c>
      <c r="E73" s="84" t="s">
        <v>43</v>
      </c>
      <c r="F73" s="236" t="str">
        <f>SpieleDB!G72</f>
        <v>KGW Essen</v>
      </c>
      <c r="G73" s="236"/>
      <c r="H73" s="84" t="str">
        <f>Saisondaten!B30</f>
        <v>1. MKC Duisburg</v>
      </c>
      <c r="I73" s="84" t="str">
        <f>Saisondaten!B32</f>
        <v>KC Wetter</v>
      </c>
      <c r="J73" s="84" t="str">
        <f t="shared" si="1"/>
        <v>ja</v>
      </c>
      <c r="L73" s="150"/>
      <c r="M73" s="150"/>
      <c r="N73" s="150"/>
      <c r="O73" s="150"/>
      <c r="Q73" s="150"/>
      <c r="R73" s="150"/>
      <c r="S73" s="150"/>
      <c r="U73" s="150" t="s">
        <v>23</v>
      </c>
    </row>
    <row r="74" spans="1:21" ht="16.5">
      <c r="A74" s="236">
        <f>SpieleDB!A73</f>
        <v>72</v>
      </c>
      <c r="B74" s="237">
        <f>SpieleDB!J73</f>
        <v>43281</v>
      </c>
      <c r="C74" s="238">
        <f>SpieleDB!D73</f>
        <v>0.59375</v>
      </c>
      <c r="D74" s="236" t="str">
        <f>SpieleDB!F73</f>
        <v>WSF Liblar</v>
      </c>
      <c r="E74" s="84" t="s">
        <v>43</v>
      </c>
      <c r="F74" s="236" t="str">
        <f>SpieleDB!G73</f>
        <v>Göttinger PC</v>
      </c>
      <c r="G74" s="236"/>
      <c r="H74" s="84" t="str">
        <f>Saisondaten!B32</f>
        <v>KC Wetter</v>
      </c>
      <c r="I74" s="84" t="str">
        <f>Saisondaten!B31</f>
        <v>KGW Essen</v>
      </c>
      <c r="J74" s="84" t="str">
        <f t="shared" si="1"/>
        <v>ja</v>
      </c>
      <c r="L74" s="150"/>
      <c r="M74" s="150"/>
      <c r="N74" s="150"/>
      <c r="O74" s="150"/>
      <c r="Q74" s="150"/>
      <c r="R74" s="150"/>
      <c r="S74" s="150"/>
      <c r="U74" s="150" t="s">
        <v>23</v>
      </c>
    </row>
    <row r="75" spans="1:21" ht="16.5">
      <c r="A75" s="236">
        <f>SpieleDB!A74</f>
        <v>73</v>
      </c>
      <c r="B75" s="237">
        <f>SpieleDB!J74</f>
        <v>43281</v>
      </c>
      <c r="C75" s="238">
        <f>SpieleDB!D74</f>
        <v>0.6458333333333334</v>
      </c>
      <c r="D75" s="236" t="str">
        <f>SpieleDB!F74</f>
        <v>KRM Essen</v>
      </c>
      <c r="E75" s="84" t="s">
        <v>43</v>
      </c>
      <c r="F75" s="236" t="str">
        <f>SpieleDB!G74</f>
        <v>1. MKC Duisburg</v>
      </c>
      <c r="G75" s="236"/>
      <c r="H75" s="84" t="str">
        <f>Saisondaten!B31</f>
        <v>KGW Essen</v>
      </c>
      <c r="I75" s="84" t="str">
        <f>Saisondaten!B33</f>
        <v>Göttinger PC</v>
      </c>
      <c r="J75" s="84" t="str">
        <f t="shared" si="1"/>
        <v>ja</v>
      </c>
      <c r="L75" s="150"/>
      <c r="M75" s="150"/>
      <c r="N75" s="150"/>
      <c r="O75" s="150"/>
      <c r="Q75" s="150"/>
      <c r="R75" s="150"/>
      <c r="S75" s="150"/>
      <c r="U75" s="150" t="s">
        <v>23</v>
      </c>
    </row>
    <row r="76" spans="1:21" ht="16.5">
      <c r="A76" s="236">
        <f>SpieleDB!A75</f>
        <v>74</v>
      </c>
      <c r="B76" s="237">
        <f>SpieleDB!J75</f>
        <v>43281</v>
      </c>
      <c r="C76" s="238">
        <f>SpieleDB!D75</f>
        <v>0.6770833333333334</v>
      </c>
      <c r="D76" s="236" t="str">
        <f>SpieleDB!F75</f>
        <v>WSF Liblar</v>
      </c>
      <c r="E76" s="84" t="s">
        <v>43</v>
      </c>
      <c r="F76" s="236" t="str">
        <f>SpieleDB!G75</f>
        <v>KC Wetter</v>
      </c>
      <c r="G76" s="236"/>
      <c r="H76" s="84" t="str">
        <f>Saisondaten!B28</f>
        <v>KRM Essen</v>
      </c>
      <c r="I76" s="84" t="str">
        <f>Saisondaten!B30</f>
        <v>1. MKC Duisburg</v>
      </c>
      <c r="J76" s="84" t="str">
        <f t="shared" si="1"/>
        <v>ja</v>
      </c>
      <c r="L76" s="150"/>
      <c r="M76" s="150"/>
      <c r="N76" s="150"/>
      <c r="O76" s="150"/>
      <c r="Q76" s="150"/>
      <c r="R76" s="150"/>
      <c r="S76" s="150"/>
      <c r="U76" s="150" t="s">
        <v>23</v>
      </c>
    </row>
    <row r="77" spans="1:21" ht="16.5">
      <c r="A77" s="236">
        <f>SpieleDB!A76</f>
        <v>75</v>
      </c>
      <c r="B77" s="237">
        <f>SpieleDB!J76</f>
        <v>43281</v>
      </c>
      <c r="C77" s="238">
        <f>SpieleDB!D76</f>
        <v>0.7083333333333334</v>
      </c>
      <c r="D77" s="236" t="str">
        <f>SpieleDB!F76</f>
        <v>KGW Essen</v>
      </c>
      <c r="E77" s="84" t="s">
        <v>43</v>
      </c>
      <c r="F77" s="236" t="str">
        <f>SpieleDB!G76</f>
        <v>Göttinger PC</v>
      </c>
      <c r="G77" s="236"/>
      <c r="H77" s="84" t="str">
        <f>Saisondaten!B28</f>
        <v>KRM Essen</v>
      </c>
      <c r="I77" s="84" t="str">
        <f>Saisondaten!B29</f>
        <v>WSF Liblar</v>
      </c>
      <c r="J77" s="84" t="str">
        <f t="shared" si="1"/>
        <v>ja</v>
      </c>
      <c r="L77" s="150"/>
      <c r="M77" s="150"/>
      <c r="N77" s="150"/>
      <c r="O77" s="150"/>
      <c r="Q77" s="150"/>
      <c r="R77" s="150"/>
      <c r="S77" s="150"/>
      <c r="U77" s="150" t="s">
        <v>23</v>
      </c>
    </row>
    <row r="78" spans="1:21" ht="16.5">
      <c r="A78" s="236">
        <f>SpieleDB!A77</f>
        <v>76</v>
      </c>
      <c r="B78" s="237">
        <f>SpieleDB!J77</f>
        <v>43282</v>
      </c>
      <c r="C78" s="238">
        <f>SpieleDB!D77</f>
        <v>0.4166666666666667</v>
      </c>
      <c r="D78" s="236" t="str">
        <f>SpieleDB!F77</f>
        <v>KGW Essen</v>
      </c>
      <c r="E78" s="84" t="s">
        <v>43</v>
      </c>
      <c r="F78" s="236" t="str">
        <f>SpieleDB!G77</f>
        <v>KC Wetter</v>
      </c>
      <c r="G78" s="236"/>
      <c r="H78" s="84" t="str">
        <f>Saisondaten!B29</f>
        <v>WSF Liblar</v>
      </c>
      <c r="I78" s="84" t="str">
        <f>Saisondaten!B30</f>
        <v>1. MKC Duisburg</v>
      </c>
      <c r="J78" s="84" t="str">
        <f t="shared" si="1"/>
        <v>ja</v>
      </c>
      <c r="L78" s="150"/>
      <c r="M78" s="150"/>
      <c r="N78" s="150"/>
      <c r="O78" s="150"/>
      <c r="Q78" s="150"/>
      <c r="R78" s="150"/>
      <c r="S78" s="150"/>
      <c r="U78" s="150" t="s">
        <v>23</v>
      </c>
    </row>
    <row r="79" spans="1:21" ht="16.5">
      <c r="A79" s="236">
        <f>SpieleDB!A78</f>
        <v>77</v>
      </c>
      <c r="B79" s="237">
        <f>SpieleDB!J78</f>
        <v>43282</v>
      </c>
      <c r="C79" s="238">
        <f>SpieleDB!D78</f>
        <v>0.4479166666666667</v>
      </c>
      <c r="D79" s="236" t="str">
        <f>SpieleDB!F78</f>
        <v>KRM Essen</v>
      </c>
      <c r="E79" s="84" t="s">
        <v>43</v>
      </c>
      <c r="F79" s="236" t="str">
        <f>SpieleDB!G78</f>
        <v>Göttinger PC</v>
      </c>
      <c r="G79" s="236"/>
      <c r="H79" s="84" t="str">
        <f>Saisondaten!B31</f>
        <v>KGW Essen</v>
      </c>
      <c r="I79" s="84" t="str">
        <f>Saisondaten!B32</f>
        <v>KC Wetter</v>
      </c>
      <c r="J79" s="84" t="str">
        <f t="shared" si="1"/>
        <v>ja</v>
      </c>
      <c r="L79" s="150"/>
      <c r="M79" s="150"/>
      <c r="N79" s="150"/>
      <c r="O79" s="150"/>
      <c r="Q79" s="150"/>
      <c r="R79" s="150"/>
      <c r="S79" s="150"/>
      <c r="U79" s="150" t="s">
        <v>23</v>
      </c>
    </row>
    <row r="80" spans="1:21" ht="16.5">
      <c r="A80" s="236">
        <f>SpieleDB!A79</f>
        <v>78</v>
      </c>
      <c r="B80" s="237">
        <f>SpieleDB!J79</f>
        <v>43282</v>
      </c>
      <c r="C80" s="238">
        <f>SpieleDB!D79</f>
        <v>0.4791666666666667</v>
      </c>
      <c r="D80" s="236" t="str">
        <f>SpieleDB!F79</f>
        <v>WSF Liblar</v>
      </c>
      <c r="E80" s="84" t="s">
        <v>43</v>
      </c>
      <c r="F80" s="236" t="str">
        <f>SpieleDB!G79</f>
        <v>1. MKC Duisburg</v>
      </c>
      <c r="G80" s="236"/>
      <c r="H80" s="84" t="str">
        <f>Saisondaten!B33</f>
        <v>Göttinger PC</v>
      </c>
      <c r="I80" s="84" t="str">
        <f>Saisondaten!B28</f>
        <v>KRM Essen</v>
      </c>
      <c r="J80" s="84" t="str">
        <f t="shared" si="1"/>
        <v>ja</v>
      </c>
      <c r="L80" s="150"/>
      <c r="M80" s="150"/>
      <c r="N80" s="150"/>
      <c r="O80" s="150"/>
      <c r="Q80" s="150"/>
      <c r="R80" s="150"/>
      <c r="S80" s="150"/>
      <c r="U80" s="150" t="s">
        <v>23</v>
      </c>
    </row>
    <row r="81" spans="1:21" ht="16.5">
      <c r="A81" s="236">
        <f>SpieleDB!A80</f>
        <v>79</v>
      </c>
      <c r="B81" s="237">
        <f>SpieleDB!J80</f>
        <v>43282</v>
      </c>
      <c r="C81" s="238">
        <f>SpieleDB!D80</f>
        <v>0.5208333333333334</v>
      </c>
      <c r="D81" s="236" t="str">
        <f>SpieleDB!F80</f>
        <v>KC Wetter</v>
      </c>
      <c r="E81" s="84" t="s">
        <v>43</v>
      </c>
      <c r="F81" s="236" t="str">
        <f>SpieleDB!G80</f>
        <v>Göttinger PC</v>
      </c>
      <c r="G81" s="236"/>
      <c r="H81" s="84" t="str">
        <f>Saisondaten!B28</f>
        <v>KRM Essen</v>
      </c>
      <c r="I81" s="84" t="str">
        <f>Saisondaten!B29</f>
        <v>WSF Liblar</v>
      </c>
      <c r="J81" s="84" t="str">
        <f t="shared" si="1"/>
        <v>ja</v>
      </c>
      <c r="L81" s="150"/>
      <c r="M81" s="150"/>
      <c r="N81" s="150"/>
      <c r="O81" s="150"/>
      <c r="Q81" s="150"/>
      <c r="R81" s="150"/>
      <c r="S81" s="150"/>
      <c r="U81" s="150" t="s">
        <v>23</v>
      </c>
    </row>
    <row r="82" spans="1:21" ht="16.5">
      <c r="A82" s="236">
        <f>SpieleDB!A81</f>
        <v>80</v>
      </c>
      <c r="B82" s="237">
        <f>SpieleDB!J81</f>
        <v>43282</v>
      </c>
      <c r="C82" s="238">
        <f>SpieleDB!D81</f>
        <v>0.5520833333333334</v>
      </c>
      <c r="D82" s="236" t="str">
        <f>SpieleDB!F81</f>
        <v>1. MKC Duisburg</v>
      </c>
      <c r="E82" s="84" t="s">
        <v>43</v>
      </c>
      <c r="F82" s="236" t="str">
        <f>SpieleDB!G81</f>
        <v>KGW Essen</v>
      </c>
      <c r="G82" s="236"/>
      <c r="H82" s="84" t="str">
        <f>Saisondaten!B32</f>
        <v>KC Wetter</v>
      </c>
      <c r="I82" s="84" t="str">
        <f>Saisondaten!B33</f>
        <v>Göttinger PC</v>
      </c>
      <c r="J82" s="84" t="str">
        <f t="shared" si="1"/>
        <v>ja</v>
      </c>
      <c r="L82" s="150"/>
      <c r="M82" s="150"/>
      <c r="N82" s="150"/>
      <c r="O82" s="150"/>
      <c r="Q82" s="150"/>
      <c r="R82" s="150"/>
      <c r="S82" s="150"/>
      <c r="U82" s="150" t="s">
        <v>23</v>
      </c>
    </row>
    <row r="83" spans="1:21" ht="16.5">
      <c r="A83" s="236">
        <f>SpieleDB!A82</f>
        <v>81</v>
      </c>
      <c r="B83" s="237">
        <f>SpieleDB!J82</f>
        <v>43282</v>
      </c>
      <c r="C83" s="238">
        <f>SpieleDB!D82</f>
        <v>0.5833333333333334</v>
      </c>
      <c r="D83" s="236" t="str">
        <f>SpieleDB!F82</f>
        <v>KRM Essen</v>
      </c>
      <c r="E83" s="84" t="s">
        <v>43</v>
      </c>
      <c r="F83" s="236" t="str">
        <f>SpieleDB!G82</f>
        <v>WSF Liblar</v>
      </c>
      <c r="G83" s="236"/>
      <c r="H83" s="84" t="str">
        <f>Saisondaten!B30</f>
        <v>1. MKC Duisburg</v>
      </c>
      <c r="I83" s="84" t="str">
        <f>Saisondaten!B31</f>
        <v>KGW Essen</v>
      </c>
      <c r="J83" s="84" t="str">
        <f t="shared" si="1"/>
        <v>ja</v>
      </c>
      <c r="L83" s="150"/>
      <c r="M83" s="150"/>
      <c r="N83" s="150"/>
      <c r="O83" s="150"/>
      <c r="Q83" s="150"/>
      <c r="R83" s="150"/>
      <c r="S83" s="150"/>
      <c r="U83" s="150" t="s">
        <v>23</v>
      </c>
    </row>
    <row r="84" spans="1:21" ht="16.5">
      <c r="A84" s="236">
        <f>SpieleDB!A83</f>
        <v>82</v>
      </c>
      <c r="B84" s="237">
        <f>SpieleDB!J83</f>
        <v>43281</v>
      </c>
      <c r="C84" s="238">
        <f>SpieleDB!D83</f>
        <v>0.4166666666666667</v>
      </c>
      <c r="D84" s="236" t="str">
        <f>SpieleDB!F83</f>
        <v>RSV Hannover</v>
      </c>
      <c r="E84" s="84" t="s">
        <v>43</v>
      </c>
      <c r="F84" s="236" t="str">
        <f>SpieleDB!G83</f>
        <v>VK Berlin</v>
      </c>
      <c r="G84" s="236"/>
      <c r="H84" s="84" t="str">
        <f>Saisondaten!C29</f>
        <v>ACC Hamburg</v>
      </c>
      <c r="I84" s="84" t="str">
        <f>Saisondaten!C31</f>
        <v>KSVH Berlin</v>
      </c>
      <c r="J84" s="84" t="str">
        <f t="shared" si="1"/>
        <v>ja</v>
      </c>
      <c r="L84" s="150"/>
      <c r="M84" s="150"/>
      <c r="N84" s="150"/>
      <c r="O84" s="150"/>
      <c r="Q84" s="150"/>
      <c r="R84" s="150"/>
      <c r="S84" s="150"/>
      <c r="U84" s="150" t="s">
        <v>23</v>
      </c>
    </row>
    <row r="85" spans="1:21" ht="16.5">
      <c r="A85" s="236">
        <f>SpieleDB!A84</f>
        <v>83</v>
      </c>
      <c r="B85" s="237">
        <f>SpieleDB!J84</f>
        <v>43281</v>
      </c>
      <c r="C85" s="238">
        <f>SpieleDB!D84</f>
        <v>0.4479166666666667</v>
      </c>
      <c r="D85" s="236" t="str">
        <f>SpieleDB!F84</f>
        <v>KCNW Berlin</v>
      </c>
      <c r="E85" s="84" t="s">
        <v>43</v>
      </c>
      <c r="F85" s="236" t="str">
        <f>SpieleDB!G84</f>
        <v>KSV Glauchau</v>
      </c>
      <c r="G85" s="236"/>
      <c r="H85" s="84" t="str">
        <f>Saisondaten!C32</f>
        <v>VK Berlin</v>
      </c>
      <c r="I85" s="84" t="str">
        <f>Saisondaten!C28</f>
        <v>RSV Hannover</v>
      </c>
      <c r="J85" s="84" t="str">
        <f t="shared" si="1"/>
        <v>ja</v>
      </c>
      <c r="L85" s="150"/>
      <c r="M85" s="150"/>
      <c r="N85" s="150"/>
      <c r="O85" s="150"/>
      <c r="Q85" s="150"/>
      <c r="R85" s="150"/>
      <c r="S85" s="150"/>
      <c r="U85" s="150" t="s">
        <v>23</v>
      </c>
    </row>
    <row r="86" spans="1:21" ht="16.5">
      <c r="A86" s="236">
        <f>SpieleDB!A85</f>
        <v>84</v>
      </c>
      <c r="B86" s="237">
        <f>SpieleDB!J85</f>
        <v>43281</v>
      </c>
      <c r="C86" s="238">
        <f>SpieleDB!D85</f>
        <v>0.4791666666666667</v>
      </c>
      <c r="D86" s="236" t="str">
        <f>SpieleDB!F85</f>
        <v>ACC Hamburg</v>
      </c>
      <c r="E86" s="84" t="s">
        <v>43</v>
      </c>
      <c r="F86" s="236" t="str">
        <f>SpieleDB!G85</f>
        <v>KSVH Berlin</v>
      </c>
      <c r="G86" s="236"/>
      <c r="H86" s="84" t="str">
        <f>Saisondaten!C30</f>
        <v>KCNW Berlin</v>
      </c>
      <c r="I86" s="84" t="str">
        <f>Saisondaten!C33</f>
        <v>KSV Glauchau</v>
      </c>
      <c r="J86" s="84" t="str">
        <f t="shared" si="1"/>
        <v>ja</v>
      </c>
      <c r="L86" s="150"/>
      <c r="M86" s="150"/>
      <c r="N86" s="150"/>
      <c r="O86" s="150"/>
      <c r="Q86" s="150"/>
      <c r="R86" s="150"/>
      <c r="S86" s="150"/>
      <c r="U86" s="150" t="s">
        <v>23</v>
      </c>
    </row>
    <row r="87" spans="1:21" ht="16.5">
      <c r="A87" s="236">
        <f>SpieleDB!A86</f>
        <v>85</v>
      </c>
      <c r="B87" s="237">
        <f>SpieleDB!J86</f>
        <v>43281</v>
      </c>
      <c r="C87" s="238">
        <f>SpieleDB!D86</f>
        <v>0.53125</v>
      </c>
      <c r="D87" s="236" t="str">
        <f>SpieleDB!F86</f>
        <v>KCNW Berlin</v>
      </c>
      <c r="E87" s="84" t="s">
        <v>43</v>
      </c>
      <c r="F87" s="236" t="str">
        <f>SpieleDB!G86</f>
        <v>VK Berlin</v>
      </c>
      <c r="G87" s="236"/>
      <c r="H87" s="84" t="str">
        <f>Saisondaten!C33</f>
        <v>KSV Glauchau</v>
      </c>
      <c r="I87" s="84" t="str">
        <f>Saisondaten!C29</f>
        <v>ACC Hamburg</v>
      </c>
      <c r="J87" s="84" t="str">
        <f t="shared" si="1"/>
        <v>ja</v>
      </c>
      <c r="L87" s="150"/>
      <c r="M87" s="150"/>
      <c r="N87" s="150"/>
      <c r="O87" s="150"/>
      <c r="Q87" s="150"/>
      <c r="R87" s="150"/>
      <c r="S87" s="150"/>
      <c r="U87" s="150" t="s">
        <v>23</v>
      </c>
    </row>
    <row r="88" spans="1:21" ht="16.5">
      <c r="A88" s="236">
        <f>SpieleDB!A87</f>
        <v>86</v>
      </c>
      <c r="B88" s="237">
        <f>SpieleDB!J87</f>
        <v>43281</v>
      </c>
      <c r="C88" s="238">
        <f>SpieleDB!D87</f>
        <v>0.5625</v>
      </c>
      <c r="D88" s="236" t="str">
        <f>SpieleDB!F87</f>
        <v>RSV Hannover</v>
      </c>
      <c r="E88" s="84" t="s">
        <v>43</v>
      </c>
      <c r="F88" s="236" t="str">
        <f>SpieleDB!G87</f>
        <v>KSVH Berlin</v>
      </c>
      <c r="G88" s="236"/>
      <c r="H88" s="84" t="str">
        <f>Saisondaten!C30</f>
        <v>KCNW Berlin</v>
      </c>
      <c r="I88" s="84" t="str">
        <f>Saisondaten!C32</f>
        <v>VK Berlin</v>
      </c>
      <c r="J88" s="84" t="str">
        <f t="shared" si="1"/>
        <v>ja</v>
      </c>
      <c r="L88" s="150"/>
      <c r="M88" s="150"/>
      <c r="N88" s="150"/>
      <c r="O88" s="150"/>
      <c r="Q88" s="150"/>
      <c r="R88" s="150"/>
      <c r="S88" s="150"/>
      <c r="U88" s="150" t="s">
        <v>23</v>
      </c>
    </row>
    <row r="89" spans="1:21" ht="16.5">
      <c r="A89" s="236">
        <f>SpieleDB!A88</f>
        <v>87</v>
      </c>
      <c r="B89" s="237">
        <f>SpieleDB!J88</f>
        <v>43281</v>
      </c>
      <c r="C89" s="238">
        <f>SpieleDB!D88</f>
        <v>0.59375</v>
      </c>
      <c r="D89" s="236" t="str">
        <f>SpieleDB!F88</f>
        <v>ACC Hamburg</v>
      </c>
      <c r="E89" s="84" t="s">
        <v>43</v>
      </c>
      <c r="F89" s="236" t="str">
        <f>SpieleDB!G88</f>
        <v>KSV Glauchau</v>
      </c>
      <c r="G89" s="236"/>
      <c r="H89" s="84" t="str">
        <f>Saisondaten!C32</f>
        <v>VK Berlin</v>
      </c>
      <c r="I89" s="84" t="str">
        <f>Saisondaten!C31</f>
        <v>KSVH Berlin</v>
      </c>
      <c r="J89" s="84" t="str">
        <f t="shared" si="1"/>
        <v>ja</v>
      </c>
      <c r="L89" s="150"/>
      <c r="M89" s="150"/>
      <c r="N89" s="150"/>
      <c r="O89" s="150"/>
      <c r="Q89" s="150"/>
      <c r="R89" s="150"/>
      <c r="S89" s="150"/>
      <c r="U89" s="150" t="s">
        <v>23</v>
      </c>
    </row>
    <row r="90" spans="1:21" ht="16.5">
      <c r="A90" s="236">
        <f>SpieleDB!A89</f>
        <v>88</v>
      </c>
      <c r="B90" s="237">
        <f>SpieleDB!J89</f>
        <v>43281</v>
      </c>
      <c r="C90" s="238">
        <f>SpieleDB!D89</f>
        <v>0.6458333333333334</v>
      </c>
      <c r="D90" s="236" t="str">
        <f>SpieleDB!F89</f>
        <v>RSV Hannover</v>
      </c>
      <c r="E90" s="84" t="s">
        <v>43</v>
      </c>
      <c r="F90" s="236" t="str">
        <f>SpieleDB!G89</f>
        <v>KCNW Berlin</v>
      </c>
      <c r="G90" s="236"/>
      <c r="H90" s="84" t="str">
        <f>Saisondaten!C31</f>
        <v>KSVH Berlin</v>
      </c>
      <c r="I90" s="84" t="str">
        <f>Saisondaten!C33</f>
        <v>KSV Glauchau</v>
      </c>
      <c r="J90" s="84" t="str">
        <f t="shared" si="1"/>
        <v>ja</v>
      </c>
      <c r="L90" s="150"/>
      <c r="M90" s="150"/>
      <c r="N90" s="150"/>
      <c r="O90" s="150"/>
      <c r="Q90" s="150"/>
      <c r="R90" s="150"/>
      <c r="S90" s="150"/>
      <c r="U90" s="150" t="s">
        <v>23</v>
      </c>
    </row>
    <row r="91" spans="1:21" ht="16.5">
      <c r="A91" s="236">
        <f>SpieleDB!A90</f>
        <v>89</v>
      </c>
      <c r="B91" s="237">
        <f>SpieleDB!J90</f>
        <v>43281</v>
      </c>
      <c r="C91" s="238">
        <f>SpieleDB!D90</f>
        <v>0.6770833333333334</v>
      </c>
      <c r="D91" s="236" t="str">
        <f>SpieleDB!F90</f>
        <v>ACC Hamburg</v>
      </c>
      <c r="E91" s="84" t="s">
        <v>43</v>
      </c>
      <c r="F91" s="236" t="str">
        <f>SpieleDB!G90</f>
        <v>VK Berlin</v>
      </c>
      <c r="G91" s="236"/>
      <c r="H91" s="84" t="str">
        <f>Saisondaten!C28</f>
        <v>RSV Hannover</v>
      </c>
      <c r="I91" s="84" t="str">
        <f>Saisondaten!C30</f>
        <v>KCNW Berlin</v>
      </c>
      <c r="J91" s="84" t="str">
        <f t="shared" si="1"/>
        <v>ja</v>
      </c>
      <c r="L91" s="150"/>
      <c r="M91" s="150"/>
      <c r="N91" s="150"/>
      <c r="O91" s="150"/>
      <c r="Q91" s="150"/>
      <c r="R91" s="150"/>
      <c r="S91" s="150"/>
      <c r="U91" s="150" t="s">
        <v>23</v>
      </c>
    </row>
    <row r="92" spans="1:21" ht="16.5">
      <c r="A92" s="236">
        <f>SpieleDB!A91</f>
        <v>90</v>
      </c>
      <c r="B92" s="237">
        <f>SpieleDB!J91</f>
        <v>43281</v>
      </c>
      <c r="C92" s="238">
        <f>SpieleDB!D91</f>
        <v>0.7083333333333334</v>
      </c>
      <c r="D92" s="236" t="str">
        <f>SpieleDB!F91</f>
        <v>KSVH Berlin</v>
      </c>
      <c r="E92" s="84" t="s">
        <v>43</v>
      </c>
      <c r="F92" s="236" t="str">
        <f>SpieleDB!G91</f>
        <v>KSV Glauchau</v>
      </c>
      <c r="G92" s="236"/>
      <c r="H92" s="84" t="str">
        <f>Saisondaten!C28</f>
        <v>RSV Hannover</v>
      </c>
      <c r="I92" s="84" t="str">
        <f>Saisondaten!C29</f>
        <v>ACC Hamburg</v>
      </c>
      <c r="J92" s="84" t="str">
        <f t="shared" si="1"/>
        <v>ja</v>
      </c>
      <c r="L92" s="150"/>
      <c r="M92" s="150"/>
      <c r="N92" s="150"/>
      <c r="O92" s="150"/>
      <c r="Q92" s="150"/>
      <c r="R92" s="150"/>
      <c r="S92" s="150"/>
      <c r="U92" s="150" t="s">
        <v>23</v>
      </c>
    </row>
    <row r="93" spans="1:21" ht="16.5">
      <c r="A93" s="236">
        <f>SpieleDB!A92</f>
        <v>91</v>
      </c>
      <c r="B93" s="237">
        <f>SpieleDB!J92</f>
        <v>43282</v>
      </c>
      <c r="C93" s="238">
        <f>SpieleDB!D92</f>
        <v>0.4166666666666667</v>
      </c>
      <c r="D93" s="236" t="str">
        <f>SpieleDB!F92</f>
        <v>KSVH Berlin</v>
      </c>
      <c r="E93" s="84" t="s">
        <v>43</v>
      </c>
      <c r="F93" s="236" t="str">
        <f>SpieleDB!G92</f>
        <v>VK Berlin</v>
      </c>
      <c r="G93" s="236"/>
      <c r="H93" s="84" t="str">
        <f>Saisondaten!C29</f>
        <v>ACC Hamburg</v>
      </c>
      <c r="I93" s="84" t="str">
        <f>Saisondaten!C30</f>
        <v>KCNW Berlin</v>
      </c>
      <c r="J93" s="84" t="str">
        <f t="shared" si="1"/>
        <v>ja</v>
      </c>
      <c r="L93" s="150"/>
      <c r="M93" s="150"/>
      <c r="N93" s="150"/>
      <c r="O93" s="150"/>
      <c r="Q93" s="150"/>
      <c r="R93" s="150"/>
      <c r="S93" s="150"/>
      <c r="U93" s="150" t="s">
        <v>23</v>
      </c>
    </row>
    <row r="94" spans="1:21" ht="16.5">
      <c r="A94" s="236">
        <f>SpieleDB!A93</f>
        <v>92</v>
      </c>
      <c r="B94" s="237">
        <f>SpieleDB!J93</f>
        <v>43282</v>
      </c>
      <c r="C94" s="238">
        <f>SpieleDB!D93</f>
        <v>0.4479166666666667</v>
      </c>
      <c r="D94" s="236" t="str">
        <f>SpieleDB!F93</f>
        <v>RSV Hannover</v>
      </c>
      <c r="E94" s="84" t="s">
        <v>43</v>
      </c>
      <c r="F94" s="236" t="str">
        <f>SpieleDB!G93</f>
        <v>KSV Glauchau</v>
      </c>
      <c r="G94" s="236"/>
      <c r="H94" s="84" t="str">
        <f>Saisondaten!C31</f>
        <v>KSVH Berlin</v>
      </c>
      <c r="I94" s="84" t="str">
        <f>Saisondaten!C32</f>
        <v>VK Berlin</v>
      </c>
      <c r="J94" s="84" t="str">
        <f t="shared" si="1"/>
        <v>ja</v>
      </c>
      <c r="L94" s="150"/>
      <c r="M94" s="150"/>
      <c r="N94" s="150"/>
      <c r="O94" s="150"/>
      <c r="Q94" s="150"/>
      <c r="R94" s="150"/>
      <c r="S94" s="150"/>
      <c r="U94" s="150" t="s">
        <v>23</v>
      </c>
    </row>
    <row r="95" spans="1:21" ht="16.5">
      <c r="A95" s="236">
        <f>SpieleDB!A94</f>
        <v>93</v>
      </c>
      <c r="B95" s="237">
        <f>SpieleDB!J94</f>
        <v>43282</v>
      </c>
      <c r="C95" s="238">
        <f>SpieleDB!D94</f>
        <v>0.4791666666666667</v>
      </c>
      <c r="D95" s="236" t="str">
        <f>SpieleDB!F94</f>
        <v>ACC Hamburg</v>
      </c>
      <c r="E95" s="84" t="s">
        <v>43</v>
      </c>
      <c r="F95" s="236" t="str">
        <f>SpieleDB!G94</f>
        <v>KCNW Berlin</v>
      </c>
      <c r="G95" s="236"/>
      <c r="H95" s="84" t="str">
        <f>Saisondaten!C33</f>
        <v>KSV Glauchau</v>
      </c>
      <c r="I95" s="84" t="str">
        <f>Saisondaten!C28</f>
        <v>RSV Hannover</v>
      </c>
      <c r="J95" s="84" t="str">
        <f t="shared" si="1"/>
        <v>ja</v>
      </c>
      <c r="L95" s="150"/>
      <c r="M95" s="150"/>
      <c r="N95" s="150"/>
      <c r="O95" s="150"/>
      <c r="Q95" s="150"/>
      <c r="R95" s="150"/>
      <c r="S95" s="150"/>
      <c r="U95" s="150" t="s">
        <v>23</v>
      </c>
    </row>
    <row r="96" spans="1:21" ht="16.5">
      <c r="A96" s="236">
        <f>SpieleDB!A95</f>
        <v>94</v>
      </c>
      <c r="B96" s="237">
        <f>SpieleDB!J95</f>
        <v>43282</v>
      </c>
      <c r="C96" s="238">
        <f>SpieleDB!D95</f>
        <v>0.5208333333333334</v>
      </c>
      <c r="D96" s="236" t="str">
        <f>SpieleDB!F95</f>
        <v>VK Berlin</v>
      </c>
      <c r="E96" s="84" t="s">
        <v>43</v>
      </c>
      <c r="F96" s="236" t="str">
        <f>SpieleDB!G95</f>
        <v>KSV Glauchau</v>
      </c>
      <c r="G96" s="236"/>
      <c r="H96" s="84" t="str">
        <f>Saisondaten!C28</f>
        <v>RSV Hannover</v>
      </c>
      <c r="I96" s="84" t="str">
        <f>Saisondaten!C29</f>
        <v>ACC Hamburg</v>
      </c>
      <c r="J96" s="84" t="str">
        <f t="shared" si="1"/>
        <v>ja</v>
      </c>
      <c r="L96" s="150"/>
      <c r="M96" s="150"/>
      <c r="N96" s="150"/>
      <c r="O96" s="150"/>
      <c r="Q96" s="150"/>
      <c r="R96" s="150"/>
      <c r="S96" s="150"/>
      <c r="U96" s="150" t="s">
        <v>23</v>
      </c>
    </row>
    <row r="97" spans="1:21" ht="16.5">
      <c r="A97" s="236">
        <f>SpieleDB!A96</f>
        <v>95</v>
      </c>
      <c r="B97" s="237">
        <f>SpieleDB!J96</f>
        <v>43282</v>
      </c>
      <c r="C97" s="238">
        <f>SpieleDB!D96</f>
        <v>0.5520833333333334</v>
      </c>
      <c r="D97" s="236" t="str">
        <f>SpieleDB!F96</f>
        <v>KCNW Berlin</v>
      </c>
      <c r="E97" s="84" t="s">
        <v>43</v>
      </c>
      <c r="F97" s="236" t="str">
        <f>SpieleDB!G96</f>
        <v>KSVH Berlin</v>
      </c>
      <c r="G97" s="236"/>
      <c r="H97" s="84" t="str">
        <f>Saisondaten!C32</f>
        <v>VK Berlin</v>
      </c>
      <c r="I97" s="84" t="str">
        <f>Saisondaten!C33</f>
        <v>KSV Glauchau</v>
      </c>
      <c r="J97" s="84" t="str">
        <f t="shared" si="1"/>
        <v>ja</v>
      </c>
      <c r="L97" s="150"/>
      <c r="M97" s="150"/>
      <c r="N97" s="150"/>
      <c r="O97" s="150"/>
      <c r="Q97" s="150"/>
      <c r="R97" s="150"/>
      <c r="S97" s="150"/>
      <c r="U97" s="150" t="s">
        <v>23</v>
      </c>
    </row>
    <row r="98" spans="1:21" ht="16.5">
      <c r="A98" s="236">
        <f>SpieleDB!A97</f>
        <v>96</v>
      </c>
      <c r="B98" s="237">
        <f>SpieleDB!J97</f>
        <v>43282</v>
      </c>
      <c r="C98" s="238">
        <f>SpieleDB!D97</f>
        <v>0.5833333333333334</v>
      </c>
      <c r="D98" s="236" t="str">
        <f>SpieleDB!F97</f>
        <v>RSV Hannover</v>
      </c>
      <c r="E98" s="84" t="s">
        <v>43</v>
      </c>
      <c r="F98" s="236" t="str">
        <f>SpieleDB!G97</f>
        <v>ACC Hamburg</v>
      </c>
      <c r="G98" s="236"/>
      <c r="H98" s="84" t="str">
        <f>Saisondaten!C30</f>
        <v>KCNW Berlin</v>
      </c>
      <c r="I98" s="84" t="str">
        <f>Saisondaten!C31</f>
        <v>KSVH Berlin</v>
      </c>
      <c r="J98" s="84" t="str">
        <f t="shared" si="1"/>
        <v>ja</v>
      </c>
      <c r="L98" s="150"/>
      <c r="M98" s="150"/>
      <c r="N98" s="150"/>
      <c r="O98" s="150"/>
      <c r="Q98" s="150"/>
      <c r="R98" s="150"/>
      <c r="S98" s="150"/>
      <c r="U98" s="150" t="s">
        <v>23</v>
      </c>
    </row>
    <row r="99" spans="1:21" ht="16.5">
      <c r="A99" s="236">
        <f>SpieleDB!A98</f>
        <v>97</v>
      </c>
      <c r="B99" s="237">
        <f>SpieleDB!J98</f>
        <v>43302</v>
      </c>
      <c r="C99" s="238">
        <f>SpieleDB!D98</f>
        <v>0.3958333333333333</v>
      </c>
      <c r="D99" s="236" t="str">
        <f>SpieleDB!F98</f>
        <v>RSV Hannover</v>
      </c>
      <c r="E99" s="84" t="s">
        <v>43</v>
      </c>
      <c r="F99" s="236" t="str">
        <f>SpieleDB!G98</f>
        <v>Göttinger PC</v>
      </c>
      <c r="G99" s="236"/>
      <c r="H99" s="84" t="str">
        <f>Saisondaten!B29</f>
        <v>WSF Liblar</v>
      </c>
      <c r="I99" s="84" t="str">
        <f>Saisondaten!C32</f>
        <v>VK Berlin</v>
      </c>
      <c r="J99" s="84" t="str">
        <f t="shared" si="1"/>
        <v>ja</v>
      </c>
      <c r="L99" s="150"/>
      <c r="M99" s="150"/>
      <c r="N99" s="150"/>
      <c r="O99" s="150"/>
      <c r="Q99" s="150"/>
      <c r="R99" s="150"/>
      <c r="S99" s="150"/>
      <c r="U99" s="150" t="s">
        <v>23</v>
      </c>
    </row>
    <row r="100" spans="1:21" ht="16.5">
      <c r="A100" s="236">
        <f>SpieleDB!A99</f>
        <v>98</v>
      </c>
      <c r="B100" s="237">
        <f>SpieleDB!J99</f>
        <v>43302</v>
      </c>
      <c r="C100" s="238">
        <f>SpieleDB!D99</f>
        <v>0.3958333333333333</v>
      </c>
      <c r="D100" s="236" t="str">
        <f>SpieleDB!F99</f>
        <v>ACC Hamburg</v>
      </c>
      <c r="E100" s="84" t="s">
        <v>43</v>
      </c>
      <c r="F100" s="236" t="str">
        <f>SpieleDB!G99</f>
        <v>KC Wetter</v>
      </c>
      <c r="G100" s="236"/>
      <c r="H100" s="84" t="str">
        <f>Saisondaten!B28</f>
        <v>KRM Essen</v>
      </c>
      <c r="I100" s="84" t="str">
        <f>Saisondaten!C33</f>
        <v>KSV Glauchau</v>
      </c>
      <c r="J100" s="84" t="str">
        <f t="shared" si="1"/>
        <v>ja</v>
      </c>
      <c r="L100" s="150"/>
      <c r="M100" s="150"/>
      <c r="N100" s="150"/>
      <c r="O100" s="150"/>
      <c r="Q100" s="150"/>
      <c r="R100" s="150"/>
      <c r="S100" s="150"/>
      <c r="U100" s="150" t="s">
        <v>23</v>
      </c>
    </row>
    <row r="101" spans="1:21" ht="16.5">
      <c r="A101" s="236">
        <f>SpieleDB!A100</f>
        <v>99</v>
      </c>
      <c r="B101" s="237">
        <f>SpieleDB!J100</f>
        <v>43302</v>
      </c>
      <c r="C101" s="238">
        <f>SpieleDB!D100</f>
        <v>0.4270833333333333</v>
      </c>
      <c r="D101" s="236" t="str">
        <f>SpieleDB!F100</f>
        <v>KCNW Berlin</v>
      </c>
      <c r="E101" s="84" t="s">
        <v>43</v>
      </c>
      <c r="F101" s="236" t="str">
        <f>SpieleDB!G100</f>
        <v>KGW Essen</v>
      </c>
      <c r="G101" s="236"/>
      <c r="H101" s="84" t="str">
        <f>Saisondaten!B33</f>
        <v>Göttinger PC</v>
      </c>
      <c r="I101" s="84" t="str">
        <f>Saisondaten!C28</f>
        <v>RSV Hannover</v>
      </c>
      <c r="J101" s="84" t="str">
        <f t="shared" si="1"/>
        <v>ja</v>
      </c>
      <c r="L101" s="150"/>
      <c r="M101" s="150"/>
      <c r="N101" s="150"/>
      <c r="O101" s="150"/>
      <c r="Q101" s="150"/>
      <c r="R101" s="150"/>
      <c r="S101" s="150"/>
      <c r="U101" s="150" t="s">
        <v>23</v>
      </c>
    </row>
    <row r="102" spans="1:21" ht="16.5">
      <c r="A102" s="236">
        <f>SpieleDB!A101</f>
        <v>100</v>
      </c>
      <c r="B102" s="237">
        <f>SpieleDB!J101</f>
        <v>43302</v>
      </c>
      <c r="C102" s="238">
        <f>SpieleDB!D101</f>
        <v>0.4270833333333333</v>
      </c>
      <c r="D102" s="236" t="str">
        <f>SpieleDB!F101</f>
        <v>KSVH Berlin</v>
      </c>
      <c r="E102" s="84" t="s">
        <v>43</v>
      </c>
      <c r="F102" s="236" t="str">
        <f>SpieleDB!G101</f>
        <v>1. MKC Duisburg</v>
      </c>
      <c r="G102" s="236"/>
      <c r="H102" s="84" t="str">
        <f>Saisondaten!B32</f>
        <v>KC Wetter</v>
      </c>
      <c r="I102" s="84" t="str">
        <f>Saisondaten!C29</f>
        <v>ACC Hamburg</v>
      </c>
      <c r="J102" s="84" t="str">
        <f t="shared" si="1"/>
        <v>ja</v>
      </c>
      <c r="L102" s="150"/>
      <c r="M102" s="150"/>
      <c r="N102" s="150"/>
      <c r="O102" s="150"/>
      <c r="Q102" s="150"/>
      <c r="R102" s="150"/>
      <c r="S102" s="150"/>
      <c r="U102" s="150" t="s">
        <v>23</v>
      </c>
    </row>
    <row r="103" spans="1:21" ht="16.5">
      <c r="A103" s="236">
        <f>SpieleDB!A102</f>
        <v>101</v>
      </c>
      <c r="B103" s="237">
        <f>SpieleDB!J102</f>
        <v>43302</v>
      </c>
      <c r="C103" s="238">
        <f>SpieleDB!D102</f>
        <v>0.4583333333333333</v>
      </c>
      <c r="D103" s="236" t="str">
        <f>SpieleDB!F102</f>
        <v>VK Berlin</v>
      </c>
      <c r="E103" s="84" t="s">
        <v>43</v>
      </c>
      <c r="F103" s="236" t="str">
        <f>SpieleDB!G102</f>
        <v>WSF Liblar</v>
      </c>
      <c r="G103" s="236"/>
      <c r="H103" s="84" t="str">
        <f>Saisondaten!B31</f>
        <v>KGW Essen</v>
      </c>
      <c r="I103" s="84" t="str">
        <f>Saisondaten!C30</f>
        <v>KCNW Berlin</v>
      </c>
      <c r="J103" s="84" t="str">
        <f t="shared" si="1"/>
        <v>ja</v>
      </c>
      <c r="L103" s="150"/>
      <c r="M103" s="150"/>
      <c r="N103" s="150"/>
      <c r="O103" s="150"/>
      <c r="Q103" s="150"/>
      <c r="R103" s="150"/>
      <c r="S103" s="150"/>
      <c r="U103" s="150" t="s">
        <v>23</v>
      </c>
    </row>
    <row r="104" spans="1:21" ht="16.5">
      <c r="A104" s="236">
        <f>SpieleDB!A103</f>
        <v>102</v>
      </c>
      <c r="B104" s="237">
        <f>SpieleDB!J103</f>
        <v>43302</v>
      </c>
      <c r="C104" s="238">
        <f>SpieleDB!D103</f>
        <v>0.4583333333333333</v>
      </c>
      <c r="D104" s="236" t="str">
        <f>SpieleDB!F103</f>
        <v>KSV Glauchau</v>
      </c>
      <c r="E104" s="84" t="s">
        <v>43</v>
      </c>
      <c r="F104" s="236" t="str">
        <f>SpieleDB!G103</f>
        <v>KRM Essen</v>
      </c>
      <c r="G104" s="236"/>
      <c r="H104" s="84" t="str">
        <f>Saisondaten!B30</f>
        <v>1. MKC Duisburg</v>
      </c>
      <c r="I104" s="84" t="str">
        <f>Saisondaten!C31</f>
        <v>KSVH Berlin</v>
      </c>
      <c r="J104" s="84" t="str">
        <f t="shared" si="1"/>
        <v>ja</v>
      </c>
      <c r="L104" s="150"/>
      <c r="M104" s="150"/>
      <c r="N104" s="150"/>
      <c r="O104" s="150"/>
      <c r="Q104" s="150"/>
      <c r="R104" s="150"/>
      <c r="S104" s="150"/>
      <c r="U104" s="150" t="s">
        <v>23</v>
      </c>
    </row>
    <row r="105" spans="1:21" ht="16.5">
      <c r="A105" s="236">
        <f>SpieleDB!A104</f>
        <v>103</v>
      </c>
      <c r="B105" s="237">
        <f>SpieleDB!J104</f>
        <v>43302</v>
      </c>
      <c r="C105" s="238">
        <f>SpieleDB!D104</f>
        <v>0.4895833333333333</v>
      </c>
      <c r="D105" s="236" t="str">
        <f>SpieleDB!F104</f>
        <v>RSV Hannover</v>
      </c>
      <c r="E105" s="84" t="s">
        <v>43</v>
      </c>
      <c r="F105" s="236" t="str">
        <f>SpieleDB!G104</f>
        <v>KC Wetter</v>
      </c>
      <c r="G105" s="236"/>
      <c r="H105" s="84" t="str">
        <f>Saisondaten!C33</f>
        <v>KSV Glauchau</v>
      </c>
      <c r="I105" s="84" t="str">
        <f>Saisondaten!B29</f>
        <v>WSF Liblar</v>
      </c>
      <c r="J105" s="84" t="str">
        <f t="shared" si="1"/>
        <v>ja</v>
      </c>
      <c r="L105" s="150"/>
      <c r="M105" s="150"/>
      <c r="N105" s="150"/>
      <c r="O105" s="150"/>
      <c r="Q105" s="150"/>
      <c r="R105" s="150"/>
      <c r="S105" s="150"/>
      <c r="U105" s="150" t="s">
        <v>23</v>
      </c>
    </row>
    <row r="106" spans="1:21" ht="16.5">
      <c r="A106" s="236">
        <f>SpieleDB!A105</f>
        <v>104</v>
      </c>
      <c r="B106" s="237">
        <f>SpieleDB!J105</f>
        <v>43302</v>
      </c>
      <c r="C106" s="238">
        <f>SpieleDB!D105</f>
        <v>0.4895833333333333</v>
      </c>
      <c r="D106" s="236" t="str">
        <f>SpieleDB!F105</f>
        <v>ACC Hamburg</v>
      </c>
      <c r="E106" s="84" t="s">
        <v>43</v>
      </c>
      <c r="F106" s="236" t="str">
        <f>SpieleDB!G105</f>
        <v>Göttinger PC</v>
      </c>
      <c r="G106" s="236"/>
      <c r="H106" s="84" t="str">
        <f>Saisondaten!C32</f>
        <v>VK Berlin</v>
      </c>
      <c r="I106" s="84" t="str">
        <f>Saisondaten!B28</f>
        <v>KRM Essen</v>
      </c>
      <c r="J106" s="84" t="str">
        <f t="shared" si="1"/>
        <v>ja</v>
      </c>
      <c r="L106" s="150"/>
      <c r="M106" s="150"/>
      <c r="N106" s="150"/>
      <c r="O106" s="150"/>
      <c r="Q106" s="150"/>
      <c r="R106" s="150"/>
      <c r="S106" s="150"/>
      <c r="U106" s="150" t="s">
        <v>23</v>
      </c>
    </row>
    <row r="107" spans="1:21" ht="16.5">
      <c r="A107" s="236">
        <f>SpieleDB!A106</f>
        <v>105</v>
      </c>
      <c r="B107" s="237">
        <f>SpieleDB!J106</f>
        <v>43302</v>
      </c>
      <c r="C107" s="238">
        <f>SpieleDB!D106</f>
        <v>0.5208333333333333</v>
      </c>
      <c r="D107" s="236" t="str">
        <f>SpieleDB!F106</f>
        <v>KCNW Berlin</v>
      </c>
      <c r="E107" s="84" t="s">
        <v>43</v>
      </c>
      <c r="F107" s="236" t="str">
        <f>SpieleDB!G106</f>
        <v>1. MKC Duisburg</v>
      </c>
      <c r="G107" s="236"/>
      <c r="H107" s="84" t="str">
        <f>Saisondaten!C29</f>
        <v>ACC Hamburg</v>
      </c>
      <c r="I107" s="84" t="str">
        <f>Saisondaten!B28</f>
        <v>KRM Essen</v>
      </c>
      <c r="J107" s="84" t="str">
        <f t="shared" si="1"/>
        <v>ja</v>
      </c>
      <c r="L107" s="150"/>
      <c r="M107" s="150"/>
      <c r="N107" s="150"/>
      <c r="O107" s="150"/>
      <c r="Q107" s="150"/>
      <c r="R107" s="150"/>
      <c r="S107" s="150"/>
      <c r="U107" s="150" t="s">
        <v>23</v>
      </c>
    </row>
    <row r="108" spans="1:21" ht="16.5">
      <c r="A108" s="236">
        <f>SpieleDB!A107</f>
        <v>106</v>
      </c>
      <c r="B108" s="237">
        <f>SpieleDB!J107</f>
        <v>43302</v>
      </c>
      <c r="C108" s="238">
        <f>SpieleDB!D107</f>
        <v>0.5208333333333333</v>
      </c>
      <c r="D108" s="236" t="str">
        <f>SpieleDB!F107</f>
        <v>KSVH Berlin</v>
      </c>
      <c r="E108" s="84" t="s">
        <v>43</v>
      </c>
      <c r="F108" s="236" t="str">
        <f>SpieleDB!G107</f>
        <v>KGW Essen</v>
      </c>
      <c r="G108" s="236"/>
      <c r="H108" s="84" t="str">
        <f>Saisondaten!C28</f>
        <v>RSV Hannover</v>
      </c>
      <c r="I108" s="84" t="str">
        <f>Saisondaten!B29</f>
        <v>WSF Liblar</v>
      </c>
      <c r="J108" s="84" t="str">
        <f t="shared" si="1"/>
        <v>ja</v>
      </c>
      <c r="L108" s="150"/>
      <c r="M108" s="150"/>
      <c r="N108" s="150"/>
      <c r="O108" s="150"/>
      <c r="Q108" s="150"/>
      <c r="R108" s="150"/>
      <c r="S108" s="150"/>
      <c r="U108" s="150" t="s">
        <v>23</v>
      </c>
    </row>
    <row r="109" spans="1:21" ht="16.5">
      <c r="A109" s="236">
        <f>SpieleDB!A108</f>
        <v>107</v>
      </c>
      <c r="B109" s="237">
        <f>SpieleDB!J108</f>
        <v>43302</v>
      </c>
      <c r="C109" s="238">
        <f>SpieleDB!D108</f>
        <v>0.5625</v>
      </c>
      <c r="D109" s="236" t="str">
        <f>SpieleDB!F108</f>
        <v>VK Berlin</v>
      </c>
      <c r="E109" s="84" t="s">
        <v>43</v>
      </c>
      <c r="F109" s="236" t="str">
        <f>SpieleDB!G108</f>
        <v>KRM Essen</v>
      </c>
      <c r="G109" s="236"/>
      <c r="H109" s="84" t="str">
        <f>Saisondaten!C31</f>
        <v>KSVH Berlin</v>
      </c>
      <c r="I109" s="84" t="str">
        <f>Saisondaten!B33</f>
        <v>Göttinger PC</v>
      </c>
      <c r="J109" s="84" t="str">
        <f t="shared" si="1"/>
        <v>ja</v>
      </c>
      <c r="L109" s="150"/>
      <c r="M109" s="150"/>
      <c r="N109" s="150"/>
      <c r="O109" s="150"/>
      <c r="Q109" s="150"/>
      <c r="R109" s="150"/>
      <c r="S109" s="150"/>
      <c r="U109" s="150" t="s">
        <v>23</v>
      </c>
    </row>
    <row r="110" spans="1:21" ht="16.5">
      <c r="A110" s="236">
        <f>SpieleDB!A109</f>
        <v>108</v>
      </c>
      <c r="B110" s="237">
        <f>SpieleDB!J109</f>
        <v>43302</v>
      </c>
      <c r="C110" s="238">
        <f>SpieleDB!D109</f>
        <v>0.5625</v>
      </c>
      <c r="D110" s="236" t="str">
        <f>SpieleDB!F109</f>
        <v>KSV Glauchau</v>
      </c>
      <c r="E110" s="84" t="s">
        <v>43</v>
      </c>
      <c r="F110" s="236" t="str">
        <f>SpieleDB!G109</f>
        <v>WSF Liblar</v>
      </c>
      <c r="G110" s="236"/>
      <c r="H110" s="84" t="str">
        <f>Saisondaten!C30</f>
        <v>KCNW Berlin</v>
      </c>
      <c r="I110" s="84" t="str">
        <f>Saisondaten!B32</f>
        <v>KC Wetter</v>
      </c>
      <c r="J110" s="84" t="str">
        <f t="shared" si="1"/>
        <v>ja</v>
      </c>
      <c r="L110" s="150"/>
      <c r="M110" s="150"/>
      <c r="N110" s="150"/>
      <c r="O110" s="150"/>
      <c r="Q110" s="150"/>
      <c r="R110" s="150"/>
      <c r="S110" s="150"/>
      <c r="U110" s="150" t="s">
        <v>23</v>
      </c>
    </row>
    <row r="111" spans="1:21" ht="16.5">
      <c r="A111" s="236">
        <f>SpieleDB!A110</f>
        <v>109</v>
      </c>
      <c r="B111" s="237">
        <f>SpieleDB!J110</f>
        <v>43302</v>
      </c>
      <c r="C111" s="238">
        <f>SpieleDB!D110</f>
        <v>0.6041666666666666</v>
      </c>
      <c r="D111" s="236" t="str">
        <f>SpieleDB!F110</f>
        <v>RSV Hannover</v>
      </c>
      <c r="E111" s="84" t="s">
        <v>43</v>
      </c>
      <c r="F111" s="236" t="str">
        <f>SpieleDB!G110</f>
        <v>KGW Essen</v>
      </c>
      <c r="G111" s="236"/>
      <c r="H111" s="84" t="str">
        <f>Saisondaten!B33</f>
        <v>Göttinger PC</v>
      </c>
      <c r="I111" s="84" t="str">
        <f>Saisondaten!C33</f>
        <v>KSV Glauchau</v>
      </c>
      <c r="J111" s="84" t="str">
        <f t="shared" si="1"/>
        <v>ja</v>
      </c>
      <c r="L111" s="150"/>
      <c r="M111" s="150"/>
      <c r="N111" s="150"/>
      <c r="O111" s="150"/>
      <c r="Q111" s="150"/>
      <c r="R111" s="150"/>
      <c r="S111" s="150"/>
      <c r="U111" s="150" t="s">
        <v>23</v>
      </c>
    </row>
    <row r="112" spans="1:21" ht="16.5">
      <c r="A112" s="236">
        <f>SpieleDB!A111</f>
        <v>110</v>
      </c>
      <c r="B112" s="237">
        <f>SpieleDB!J111</f>
        <v>43302</v>
      </c>
      <c r="C112" s="238">
        <f>SpieleDB!D111</f>
        <v>0.6041666666666666</v>
      </c>
      <c r="D112" s="236" t="str">
        <f>SpieleDB!F111</f>
        <v>ACC Hamburg</v>
      </c>
      <c r="E112" s="84" t="s">
        <v>43</v>
      </c>
      <c r="F112" s="236" t="str">
        <f>SpieleDB!G111</f>
        <v>1. MKC Duisburg</v>
      </c>
      <c r="G112" s="236"/>
      <c r="H112" s="84" t="str">
        <f>Saisondaten!B32</f>
        <v>KC Wetter</v>
      </c>
      <c r="I112" s="84" t="str">
        <f>Saisondaten!C32</f>
        <v>VK Berlin</v>
      </c>
      <c r="J112" s="84" t="str">
        <f t="shared" si="1"/>
        <v>ja</v>
      </c>
      <c r="L112" s="150"/>
      <c r="M112" s="150"/>
      <c r="N112" s="150"/>
      <c r="O112" s="150"/>
      <c r="Q112" s="150"/>
      <c r="R112" s="150"/>
      <c r="S112" s="150"/>
      <c r="U112" s="150" t="s">
        <v>23</v>
      </c>
    </row>
    <row r="113" spans="1:21" ht="16.5">
      <c r="A113" s="236">
        <f>SpieleDB!A112</f>
        <v>111</v>
      </c>
      <c r="B113" s="237">
        <f>SpieleDB!J112</f>
        <v>43302</v>
      </c>
      <c r="C113" s="238">
        <f>SpieleDB!D112</f>
        <v>0.6354166666666666</v>
      </c>
      <c r="D113" s="236" t="str">
        <f>SpieleDB!F112</f>
        <v>KCNW Berlin</v>
      </c>
      <c r="E113" s="84" t="s">
        <v>43</v>
      </c>
      <c r="F113" s="236" t="str">
        <f>SpieleDB!G112</f>
        <v>WSF Liblar</v>
      </c>
      <c r="G113" s="236"/>
      <c r="H113" s="84" t="str">
        <f>Saisondaten!B31</f>
        <v>KGW Essen</v>
      </c>
      <c r="I113" s="84" t="str">
        <f>Saisondaten!C29</f>
        <v>ACC Hamburg</v>
      </c>
      <c r="J113" s="84" t="str">
        <f t="shared" si="1"/>
        <v>ja</v>
      </c>
      <c r="L113" s="150"/>
      <c r="M113" s="150"/>
      <c r="N113" s="150"/>
      <c r="O113" s="150"/>
      <c r="Q113" s="150"/>
      <c r="R113" s="150"/>
      <c r="S113" s="150"/>
      <c r="U113" s="150" t="s">
        <v>23</v>
      </c>
    </row>
    <row r="114" spans="1:21" ht="16.5">
      <c r="A114" s="236">
        <f>SpieleDB!A113</f>
        <v>112</v>
      </c>
      <c r="B114" s="237">
        <f>SpieleDB!J113</f>
        <v>43302</v>
      </c>
      <c r="C114" s="238">
        <f>SpieleDB!D113</f>
        <v>0.6354166666666666</v>
      </c>
      <c r="D114" s="236" t="str">
        <f>SpieleDB!F113</f>
        <v>KSVH Berlin</v>
      </c>
      <c r="E114" s="84" t="s">
        <v>43</v>
      </c>
      <c r="F114" s="236" t="str">
        <f>SpieleDB!G113</f>
        <v>KRM Essen</v>
      </c>
      <c r="G114" s="236"/>
      <c r="H114" s="84" t="str">
        <f>Saisondaten!B30</f>
        <v>1. MKC Duisburg</v>
      </c>
      <c r="I114" s="84" t="str">
        <f>Saisondaten!C28</f>
        <v>RSV Hannover</v>
      </c>
      <c r="J114" s="84" t="str">
        <f t="shared" si="1"/>
        <v>ja</v>
      </c>
      <c r="L114" s="150"/>
      <c r="M114" s="150"/>
      <c r="N114" s="150"/>
      <c r="O114" s="150"/>
      <c r="Q114" s="150"/>
      <c r="R114" s="150"/>
      <c r="S114" s="150"/>
      <c r="U114" s="150" t="s">
        <v>23</v>
      </c>
    </row>
    <row r="115" spans="1:21" ht="16.5">
      <c r="A115" s="236">
        <f>SpieleDB!A114</f>
        <v>113</v>
      </c>
      <c r="B115" s="237">
        <f>SpieleDB!J114</f>
        <v>43302</v>
      </c>
      <c r="C115" s="238">
        <f>SpieleDB!D114</f>
        <v>0.6666666666666666</v>
      </c>
      <c r="D115" s="236" t="str">
        <f>SpieleDB!F114</f>
        <v>VK Berlin</v>
      </c>
      <c r="E115" s="84" t="s">
        <v>43</v>
      </c>
      <c r="F115" s="236" t="str">
        <f>SpieleDB!G114</f>
        <v>Göttinger PC</v>
      </c>
      <c r="G115" s="236"/>
      <c r="H115" s="84" t="str">
        <f>Saisondaten!B29</f>
        <v>WSF Liblar</v>
      </c>
      <c r="I115" s="84" t="str">
        <f>Saisondaten!C31</f>
        <v>KSVH Berlin</v>
      </c>
      <c r="J115" s="84" t="str">
        <f t="shared" si="1"/>
        <v>ja</v>
      </c>
      <c r="L115" s="150"/>
      <c r="M115" s="150"/>
      <c r="N115" s="150"/>
      <c r="O115" s="150"/>
      <c r="Q115" s="150"/>
      <c r="R115" s="150"/>
      <c r="S115" s="150"/>
      <c r="U115" s="150" t="s">
        <v>23</v>
      </c>
    </row>
    <row r="116" spans="1:21" ht="16.5">
      <c r="A116" s="236">
        <f>SpieleDB!A115</f>
        <v>114</v>
      </c>
      <c r="B116" s="237">
        <f>SpieleDB!J115</f>
        <v>43302</v>
      </c>
      <c r="C116" s="238">
        <f>SpieleDB!D115</f>
        <v>0.6666666666666666</v>
      </c>
      <c r="D116" s="236" t="str">
        <f>SpieleDB!F115</f>
        <v>KSV Glauchau</v>
      </c>
      <c r="E116" s="84" t="s">
        <v>43</v>
      </c>
      <c r="F116" s="236" t="str">
        <f>SpieleDB!G115</f>
        <v>KC Wetter</v>
      </c>
      <c r="G116" s="236"/>
      <c r="H116" s="84" t="str">
        <f>Saisondaten!B28</f>
        <v>KRM Essen</v>
      </c>
      <c r="I116" s="84" t="str">
        <f>Saisondaten!C30</f>
        <v>KCNW Berlin</v>
      </c>
      <c r="J116" s="84" t="str">
        <f t="shared" si="1"/>
        <v>ja</v>
      </c>
      <c r="L116" s="150"/>
      <c r="M116" s="150"/>
      <c r="N116" s="150"/>
      <c r="O116" s="150"/>
      <c r="Q116" s="150"/>
      <c r="R116" s="150"/>
      <c r="S116" s="150"/>
      <c r="U116" s="150" t="s">
        <v>23</v>
      </c>
    </row>
    <row r="117" spans="1:21" ht="16.5">
      <c r="A117" s="236">
        <f>SpieleDB!A116</f>
        <v>115</v>
      </c>
      <c r="B117" s="237">
        <f>SpieleDB!J116</f>
        <v>43302</v>
      </c>
      <c r="C117" s="238">
        <f>SpieleDB!D116</f>
        <v>0.6979166666666666</v>
      </c>
      <c r="D117" s="236" t="str">
        <f>SpieleDB!F116</f>
        <v>RSV Hannover</v>
      </c>
      <c r="E117" s="84" t="s">
        <v>43</v>
      </c>
      <c r="F117" s="236" t="str">
        <f>SpieleDB!G116</f>
        <v>1. MKC Duisburg</v>
      </c>
      <c r="G117" s="236"/>
      <c r="H117" s="84" t="str">
        <f>Saisondaten!C32</f>
        <v>VK Berlin</v>
      </c>
      <c r="I117" s="84" t="str">
        <f>Saisondaten!B33</f>
        <v>Göttinger PC</v>
      </c>
      <c r="J117" s="84" t="str">
        <f t="shared" si="1"/>
        <v>ja</v>
      </c>
      <c r="L117" s="150"/>
      <c r="M117" s="150"/>
      <c r="N117" s="150"/>
      <c r="O117" s="150"/>
      <c r="Q117" s="150"/>
      <c r="R117" s="150"/>
      <c r="S117" s="150"/>
      <c r="U117" s="150" t="s">
        <v>23</v>
      </c>
    </row>
    <row r="118" spans="1:21" ht="16.5">
      <c r="A118" s="236">
        <f>SpieleDB!A117</f>
        <v>116</v>
      </c>
      <c r="B118" s="237">
        <f>SpieleDB!J117</f>
        <v>43302</v>
      </c>
      <c r="C118" s="238">
        <f>SpieleDB!D117</f>
        <v>0.6979166666666666</v>
      </c>
      <c r="D118" s="236" t="str">
        <f>SpieleDB!F117</f>
        <v>ACC Hamburg</v>
      </c>
      <c r="E118" s="84" t="s">
        <v>43</v>
      </c>
      <c r="F118" s="236" t="str">
        <f>SpieleDB!G117</f>
        <v>KGW Essen</v>
      </c>
      <c r="G118" s="236"/>
      <c r="H118" s="84" t="str">
        <f>Saisondaten!C33</f>
        <v>KSV Glauchau</v>
      </c>
      <c r="I118" s="84" t="str">
        <f>Saisondaten!B32</f>
        <v>KC Wetter</v>
      </c>
      <c r="J118" s="84" t="str">
        <f t="shared" si="1"/>
        <v>ja</v>
      </c>
      <c r="L118" s="150"/>
      <c r="M118" s="150"/>
      <c r="N118" s="150"/>
      <c r="O118" s="150"/>
      <c r="Q118" s="150"/>
      <c r="R118" s="150"/>
      <c r="S118" s="150"/>
      <c r="U118" s="150" t="s">
        <v>23</v>
      </c>
    </row>
    <row r="119" spans="1:21" ht="16.5">
      <c r="A119" s="236">
        <f>SpieleDB!A118</f>
        <v>117</v>
      </c>
      <c r="B119" s="237">
        <f>SpieleDB!J118</f>
        <v>43302</v>
      </c>
      <c r="C119" s="238">
        <f>SpieleDB!D118</f>
        <v>0.7291666666666666</v>
      </c>
      <c r="D119" s="236" t="str">
        <f>SpieleDB!F118</f>
        <v>KCNW Berlin</v>
      </c>
      <c r="E119" s="84" t="s">
        <v>43</v>
      </c>
      <c r="F119" s="236" t="str">
        <f>SpieleDB!G118</f>
        <v>KRM Essen</v>
      </c>
      <c r="G119" s="236"/>
      <c r="H119" s="84" t="str">
        <f>Saisondaten!C28</f>
        <v>RSV Hannover</v>
      </c>
      <c r="I119" s="84" t="str">
        <f>Saisondaten!B30</f>
        <v>1. MKC Duisburg</v>
      </c>
      <c r="J119" s="84" t="str">
        <f t="shared" si="1"/>
        <v>ja</v>
      </c>
      <c r="L119" s="150"/>
      <c r="M119" s="150"/>
      <c r="N119" s="150"/>
      <c r="O119" s="150"/>
      <c r="Q119" s="150"/>
      <c r="R119" s="150"/>
      <c r="S119" s="150"/>
      <c r="U119" s="150" t="s">
        <v>23</v>
      </c>
    </row>
    <row r="120" spans="1:21" ht="16.5">
      <c r="A120" s="236">
        <f>SpieleDB!A119</f>
        <v>118</v>
      </c>
      <c r="B120" s="237">
        <f>SpieleDB!J119</f>
        <v>43302</v>
      </c>
      <c r="C120" s="238">
        <f>SpieleDB!D119</f>
        <v>0.7291666666666666</v>
      </c>
      <c r="D120" s="236" t="str">
        <f>SpieleDB!F119</f>
        <v>KSVH Berlin</v>
      </c>
      <c r="E120" s="84" t="s">
        <v>43</v>
      </c>
      <c r="F120" s="236" t="str">
        <f>SpieleDB!G119</f>
        <v>WSF Liblar</v>
      </c>
      <c r="G120" s="236"/>
      <c r="H120" s="84" t="str">
        <f>Saisondaten!C29</f>
        <v>ACC Hamburg</v>
      </c>
      <c r="I120" s="84" t="str">
        <f>Saisondaten!B31</f>
        <v>KGW Essen</v>
      </c>
      <c r="J120" s="84" t="str">
        <f t="shared" si="1"/>
        <v>ja</v>
      </c>
      <c r="L120" s="150"/>
      <c r="M120" s="150"/>
      <c r="N120" s="150"/>
      <c r="O120" s="150"/>
      <c r="Q120" s="150"/>
      <c r="R120" s="150"/>
      <c r="S120" s="150"/>
      <c r="U120" s="150" t="s">
        <v>23</v>
      </c>
    </row>
    <row r="121" spans="1:21" ht="16.5">
      <c r="A121" s="236">
        <f>SpieleDB!A120</f>
        <v>119</v>
      </c>
      <c r="B121" s="237">
        <f>SpieleDB!J120</f>
        <v>43302</v>
      </c>
      <c r="C121" s="238">
        <f>SpieleDB!D120</f>
        <v>0.7604166666666666</v>
      </c>
      <c r="D121" s="236" t="str">
        <f>SpieleDB!F120</f>
        <v>VK Berlin</v>
      </c>
      <c r="E121" s="84" t="s">
        <v>43</v>
      </c>
      <c r="F121" s="236" t="str">
        <f>SpieleDB!G120</f>
        <v>KC Wetter</v>
      </c>
      <c r="G121" s="236"/>
      <c r="H121" s="84" t="str">
        <f>Saisondaten!C30</f>
        <v>KCNW Berlin</v>
      </c>
      <c r="I121" s="84" t="str">
        <f>Saisondaten!B30</f>
        <v>1. MKC Duisburg</v>
      </c>
      <c r="J121" s="84" t="str">
        <f t="shared" si="1"/>
        <v>ja</v>
      </c>
      <c r="L121" s="150"/>
      <c r="M121" s="150"/>
      <c r="N121" s="150"/>
      <c r="O121" s="150"/>
      <c r="Q121" s="150"/>
      <c r="R121" s="150"/>
      <c r="S121" s="150"/>
      <c r="U121" s="150" t="s">
        <v>23</v>
      </c>
    </row>
    <row r="122" spans="1:21" ht="16.5">
      <c r="A122" s="236">
        <f>SpieleDB!A121</f>
        <v>120</v>
      </c>
      <c r="B122" s="237">
        <f>SpieleDB!J121</f>
        <v>43302</v>
      </c>
      <c r="C122" s="238">
        <f>SpieleDB!D121</f>
        <v>0.7604166666666666</v>
      </c>
      <c r="D122" s="236" t="str">
        <f>SpieleDB!F121</f>
        <v>KSV Glauchau</v>
      </c>
      <c r="E122" s="84" t="s">
        <v>43</v>
      </c>
      <c r="F122" s="236" t="str">
        <f>SpieleDB!G121</f>
        <v>Göttinger PC</v>
      </c>
      <c r="G122" s="236"/>
      <c r="H122" s="84" t="str">
        <f>Saisondaten!C31</f>
        <v>KSVH Berlin</v>
      </c>
      <c r="I122" s="84" t="str">
        <f>Saisondaten!B31</f>
        <v>KGW Essen</v>
      </c>
      <c r="J122" s="84" t="str">
        <f t="shared" si="1"/>
        <v>ja</v>
      </c>
      <c r="L122" s="150"/>
      <c r="M122" s="150"/>
      <c r="N122" s="150"/>
      <c r="O122" s="150"/>
      <c r="Q122" s="150"/>
      <c r="R122" s="150"/>
      <c r="S122" s="150"/>
      <c r="U122" s="150" t="s">
        <v>23</v>
      </c>
    </row>
    <row r="123" spans="1:21" ht="16.5">
      <c r="A123" s="236">
        <f>SpieleDB!A122</f>
        <v>121</v>
      </c>
      <c r="B123" s="237">
        <f>SpieleDB!J122</f>
        <v>43303</v>
      </c>
      <c r="C123" s="238">
        <f>SpieleDB!D122</f>
        <v>0.4166666666666667</v>
      </c>
      <c r="D123" s="236" t="str">
        <f>SpieleDB!F122</f>
        <v>VK Berlin</v>
      </c>
      <c r="E123" s="84" t="s">
        <v>43</v>
      </c>
      <c r="F123" s="236" t="str">
        <f>SpieleDB!G122</f>
        <v>KGW Essen</v>
      </c>
      <c r="G123" s="236"/>
      <c r="H123" s="84" t="str">
        <f>Saisondaten!B29</f>
        <v>WSF Liblar</v>
      </c>
      <c r="I123" s="84" t="str">
        <f>Saisondaten!C29</f>
        <v>ACC Hamburg</v>
      </c>
      <c r="J123" s="84" t="str">
        <f t="shared" si="1"/>
        <v>ja</v>
      </c>
      <c r="L123" s="150"/>
      <c r="M123" s="150"/>
      <c r="N123" s="150"/>
      <c r="O123" s="150"/>
      <c r="Q123" s="150"/>
      <c r="R123" s="150"/>
      <c r="S123" s="150"/>
      <c r="U123" s="150" t="s">
        <v>23</v>
      </c>
    </row>
    <row r="124" spans="1:21" ht="16.5">
      <c r="A124" s="236">
        <f>SpieleDB!A123</f>
        <v>122</v>
      </c>
      <c r="B124" s="237">
        <f>SpieleDB!J123</f>
        <v>43303</v>
      </c>
      <c r="C124" s="238">
        <f>SpieleDB!D123</f>
        <v>0.4166666666666667</v>
      </c>
      <c r="D124" s="236" t="str">
        <f>SpieleDB!F123</f>
        <v>KSV Glauchau</v>
      </c>
      <c r="E124" s="84" t="s">
        <v>43</v>
      </c>
      <c r="F124" s="236" t="str">
        <f>SpieleDB!G123</f>
        <v>1. MKC Duisburg</v>
      </c>
      <c r="G124" s="236"/>
      <c r="H124" s="84" t="str">
        <f>Saisondaten!B28</f>
        <v>KRM Essen</v>
      </c>
      <c r="I124" s="84" t="str">
        <f>Saisondaten!C28</f>
        <v>RSV Hannover</v>
      </c>
      <c r="J124" s="84" t="str">
        <f t="shared" si="1"/>
        <v>ja</v>
      </c>
      <c r="L124" s="150"/>
      <c r="M124" s="150"/>
      <c r="N124" s="150"/>
      <c r="O124" s="150"/>
      <c r="Q124" s="150"/>
      <c r="R124" s="150"/>
      <c r="S124" s="150"/>
      <c r="U124" s="150" t="s">
        <v>23</v>
      </c>
    </row>
    <row r="125" spans="1:21" ht="16.5">
      <c r="A125" s="236">
        <f>SpieleDB!A124</f>
        <v>123</v>
      </c>
      <c r="B125" s="237">
        <f>SpieleDB!J124</f>
        <v>43303</v>
      </c>
      <c r="C125" s="238">
        <f>SpieleDB!D124</f>
        <v>0.4479166666666667</v>
      </c>
      <c r="D125" s="236" t="str">
        <f>SpieleDB!F124</f>
        <v>KCNW Berlin</v>
      </c>
      <c r="E125" s="84" t="s">
        <v>43</v>
      </c>
      <c r="F125" s="236" t="str">
        <f>SpieleDB!G124</f>
        <v>Göttinger PC</v>
      </c>
      <c r="G125" s="236"/>
      <c r="H125" s="84" t="str">
        <f>Saisondaten!B30</f>
        <v>1. MKC Duisburg</v>
      </c>
      <c r="I125" s="84" t="str">
        <f>Saisondaten!C33</f>
        <v>KSV Glauchau</v>
      </c>
      <c r="J125" s="84" t="str">
        <f t="shared" si="1"/>
        <v>ja</v>
      </c>
      <c r="L125" s="150"/>
      <c r="M125" s="150"/>
      <c r="N125" s="150"/>
      <c r="O125" s="150"/>
      <c r="Q125" s="150"/>
      <c r="R125" s="150"/>
      <c r="S125" s="150"/>
      <c r="U125" s="150" t="s">
        <v>23</v>
      </c>
    </row>
    <row r="126" spans="1:21" ht="16.5">
      <c r="A126" s="236">
        <f>SpieleDB!A125</f>
        <v>124</v>
      </c>
      <c r="B126" s="237">
        <f>SpieleDB!J125</f>
        <v>43303</v>
      </c>
      <c r="C126" s="238">
        <f>SpieleDB!D125</f>
        <v>0.4479166666666667</v>
      </c>
      <c r="D126" s="236" t="str">
        <f>SpieleDB!F125</f>
        <v>KSVH Berlin</v>
      </c>
      <c r="E126" s="84" t="s">
        <v>43</v>
      </c>
      <c r="F126" s="236" t="str">
        <f>SpieleDB!G125</f>
        <v>KC Wetter</v>
      </c>
      <c r="G126" s="236"/>
      <c r="H126" s="84" t="str">
        <f>Saisondaten!B31</f>
        <v>KGW Essen</v>
      </c>
      <c r="I126" s="84" t="str">
        <f>Saisondaten!C32</f>
        <v>VK Berlin</v>
      </c>
      <c r="J126" s="84" t="str">
        <f t="shared" si="1"/>
        <v>ja</v>
      </c>
      <c r="L126" s="150"/>
      <c r="M126" s="150"/>
      <c r="N126" s="150"/>
      <c r="O126" s="150"/>
      <c r="Q126" s="150"/>
      <c r="R126" s="150"/>
      <c r="S126" s="150"/>
      <c r="U126" s="150" t="s">
        <v>23</v>
      </c>
    </row>
    <row r="127" spans="1:21" ht="16.5">
      <c r="A127" s="236">
        <f>SpieleDB!A126</f>
        <v>125</v>
      </c>
      <c r="B127" s="237">
        <f>SpieleDB!J126</f>
        <v>43303</v>
      </c>
      <c r="C127" s="238">
        <f>SpieleDB!D126</f>
        <v>0.4791666666666667</v>
      </c>
      <c r="D127" s="236" t="str">
        <f>SpieleDB!F126</f>
        <v>RSV Hannover</v>
      </c>
      <c r="E127" s="84" t="s">
        <v>43</v>
      </c>
      <c r="F127" s="236" t="str">
        <f>SpieleDB!G126</f>
        <v>WSF Liblar</v>
      </c>
      <c r="G127" s="236"/>
      <c r="H127" s="84" t="str">
        <f>Saisondaten!B33</f>
        <v>Göttinger PC</v>
      </c>
      <c r="I127" s="84" t="str">
        <f>Saisondaten!C31</f>
        <v>KSVH Berlin</v>
      </c>
      <c r="J127" s="84" t="str">
        <f t="shared" si="1"/>
        <v>ja</v>
      </c>
      <c r="L127" s="150"/>
      <c r="M127" s="150"/>
      <c r="N127" s="150"/>
      <c r="O127" s="150"/>
      <c r="Q127" s="150"/>
      <c r="R127" s="150"/>
      <c r="S127" s="150"/>
      <c r="U127" s="150" t="s">
        <v>23</v>
      </c>
    </row>
    <row r="128" spans="1:21" ht="16.5">
      <c r="A128" s="236">
        <f>SpieleDB!A127</f>
        <v>126</v>
      </c>
      <c r="B128" s="237">
        <f>SpieleDB!J127</f>
        <v>43303</v>
      </c>
      <c r="C128" s="238">
        <f>SpieleDB!D127</f>
        <v>0.4791666666666667</v>
      </c>
      <c r="D128" s="236" t="str">
        <f>SpieleDB!F127</f>
        <v>ACC Hamburg</v>
      </c>
      <c r="E128" s="84" t="s">
        <v>43</v>
      </c>
      <c r="F128" s="236" t="str">
        <f>SpieleDB!G127</f>
        <v>KRM Essen</v>
      </c>
      <c r="G128" s="236"/>
      <c r="H128" s="84" t="str">
        <f>Saisondaten!B32</f>
        <v>KC Wetter</v>
      </c>
      <c r="I128" s="84" t="str">
        <f>Saisondaten!C30</f>
        <v>KCNW Berlin</v>
      </c>
      <c r="J128" s="84" t="str">
        <f t="shared" si="1"/>
        <v>ja</v>
      </c>
      <c r="L128" s="150"/>
      <c r="M128" s="150"/>
      <c r="N128" s="150"/>
      <c r="O128" s="150"/>
      <c r="Q128" s="150"/>
      <c r="R128" s="150"/>
      <c r="S128" s="150"/>
      <c r="U128" s="150" t="s">
        <v>23</v>
      </c>
    </row>
    <row r="129" spans="1:21" ht="16.5">
      <c r="A129" s="236">
        <f>SpieleDB!A128</f>
        <v>127</v>
      </c>
      <c r="B129" s="237">
        <f>SpieleDB!J128</f>
        <v>43303</v>
      </c>
      <c r="C129" s="238">
        <f>SpieleDB!D128</f>
        <v>0.5208333333333334</v>
      </c>
      <c r="D129" s="236" t="str">
        <f>SpieleDB!F128</f>
        <v>VK Berlin</v>
      </c>
      <c r="E129" s="84" t="s">
        <v>43</v>
      </c>
      <c r="F129" s="236" t="str">
        <f>SpieleDB!G128</f>
        <v>1. MKC Duisburg</v>
      </c>
      <c r="G129" s="236"/>
      <c r="H129" s="84" t="str">
        <f>Saisondaten!C28</f>
        <v>RSV Hannover</v>
      </c>
      <c r="I129" s="84" t="str">
        <f>Saisondaten!B29</f>
        <v>WSF Liblar</v>
      </c>
      <c r="J129" s="84" t="str">
        <f t="shared" si="1"/>
        <v>ja</v>
      </c>
      <c r="L129" s="150"/>
      <c r="M129" s="150"/>
      <c r="N129" s="150"/>
      <c r="O129" s="150"/>
      <c r="Q129" s="150"/>
      <c r="R129" s="150"/>
      <c r="S129" s="150"/>
      <c r="U129" s="150" t="s">
        <v>23</v>
      </c>
    </row>
    <row r="130" spans="1:21" ht="16.5">
      <c r="A130" s="236">
        <f>SpieleDB!A129</f>
        <v>128</v>
      </c>
      <c r="B130" s="237">
        <f>SpieleDB!J129</f>
        <v>43303</v>
      </c>
      <c r="C130" s="238">
        <f>SpieleDB!D129</f>
        <v>0.5208333333333334</v>
      </c>
      <c r="D130" s="236" t="str">
        <f>SpieleDB!F129</f>
        <v>KSV Glauchau</v>
      </c>
      <c r="E130" s="84" t="s">
        <v>43</v>
      </c>
      <c r="F130" s="236" t="str">
        <f>SpieleDB!G129</f>
        <v>KGW Essen</v>
      </c>
      <c r="G130" s="236"/>
      <c r="H130" s="84" t="str">
        <f>Saisondaten!C29</f>
        <v>ACC Hamburg</v>
      </c>
      <c r="I130" s="84" t="str">
        <f>Saisondaten!B28</f>
        <v>KRM Essen</v>
      </c>
      <c r="J130" s="84" t="str">
        <f t="shared" si="1"/>
        <v>ja</v>
      </c>
      <c r="L130" s="150"/>
      <c r="M130" s="150"/>
      <c r="N130" s="150"/>
      <c r="O130" s="150"/>
      <c r="Q130" s="150"/>
      <c r="R130" s="150"/>
      <c r="S130" s="150"/>
      <c r="U130" s="150" t="s">
        <v>23</v>
      </c>
    </row>
    <row r="131" spans="1:21" ht="16.5">
      <c r="A131" s="236">
        <f>SpieleDB!A130</f>
        <v>129</v>
      </c>
      <c r="B131" s="237">
        <f>SpieleDB!J130</f>
        <v>43303</v>
      </c>
      <c r="C131" s="238">
        <f>SpieleDB!D130</f>
        <v>0.5520833333333334</v>
      </c>
      <c r="D131" s="236" t="str">
        <f>SpieleDB!F130</f>
        <v>KCNW Berlin</v>
      </c>
      <c r="E131" s="84" t="s">
        <v>43</v>
      </c>
      <c r="F131" s="236" t="str">
        <f>SpieleDB!G130</f>
        <v>KC Wetter</v>
      </c>
      <c r="G131" s="236"/>
      <c r="H131" s="84" t="str">
        <f>Saisondaten!C32</f>
        <v>VK Berlin</v>
      </c>
      <c r="I131" s="84" t="str">
        <f>Saisondaten!B30</f>
        <v>1. MKC Duisburg</v>
      </c>
      <c r="J131" s="84" t="str">
        <f t="shared" si="1"/>
        <v>ja</v>
      </c>
      <c r="L131" s="150"/>
      <c r="M131" s="150"/>
      <c r="N131" s="150"/>
      <c r="O131" s="150"/>
      <c r="Q131" s="150"/>
      <c r="R131" s="150"/>
      <c r="S131" s="150"/>
      <c r="U131" s="150" t="s">
        <v>23</v>
      </c>
    </row>
    <row r="132" spans="1:21" ht="16.5">
      <c r="A132" s="236">
        <f>SpieleDB!A131</f>
        <v>130</v>
      </c>
      <c r="B132" s="237">
        <f>SpieleDB!J131</f>
        <v>43303</v>
      </c>
      <c r="C132" s="238">
        <f>SpieleDB!D131</f>
        <v>0.5520833333333334</v>
      </c>
      <c r="D132" s="236" t="str">
        <f>SpieleDB!F131</f>
        <v>KSVH Berlin</v>
      </c>
      <c r="E132" s="84" t="s">
        <v>43</v>
      </c>
      <c r="F132" s="236" t="str">
        <f>SpieleDB!G131</f>
        <v>Göttinger PC</v>
      </c>
      <c r="G132" s="236"/>
      <c r="H132" s="84" t="str">
        <f>Saisondaten!C33</f>
        <v>KSV Glauchau</v>
      </c>
      <c r="I132" s="84" t="str">
        <f>Saisondaten!B31</f>
        <v>KGW Essen</v>
      </c>
      <c r="J132" s="84" t="str">
        <f aca="true" t="shared" si="2" ref="J132:J152">IF(OR(OR(H132="",D132=H132),OR(I132="",F132=I132)),"nein","ja")</f>
        <v>ja</v>
      </c>
      <c r="L132" s="150"/>
      <c r="M132" s="150"/>
      <c r="N132" s="150"/>
      <c r="O132" s="150"/>
      <c r="Q132" s="150"/>
      <c r="R132" s="150"/>
      <c r="S132" s="150"/>
      <c r="U132" s="150" t="s">
        <v>23</v>
      </c>
    </row>
    <row r="133" spans="1:21" ht="16.5">
      <c r="A133" s="236">
        <f>SpieleDB!A132</f>
        <v>131</v>
      </c>
      <c r="B133" s="237">
        <f>SpieleDB!J132</f>
        <v>43303</v>
      </c>
      <c r="C133" s="238">
        <f>SpieleDB!D132</f>
        <v>0.5833333333333334</v>
      </c>
      <c r="D133" s="236" t="str">
        <f>SpieleDB!F132</f>
        <v>RSV Hannover</v>
      </c>
      <c r="E133" s="84" t="s">
        <v>43</v>
      </c>
      <c r="F133" s="236" t="str">
        <f>SpieleDB!G132</f>
        <v>KRM Essen</v>
      </c>
      <c r="G133" s="236"/>
      <c r="H133" s="84" t="str">
        <f>Saisondaten!C30</f>
        <v>KCNW Berlin</v>
      </c>
      <c r="I133" s="84" t="str">
        <f>Saisondaten!B32</f>
        <v>KC Wetter</v>
      </c>
      <c r="J133" s="84" t="str">
        <f t="shared" si="2"/>
        <v>ja</v>
      </c>
      <c r="L133" s="150"/>
      <c r="M133" s="150"/>
      <c r="N133" s="150"/>
      <c r="O133" s="150"/>
      <c r="Q133" s="150"/>
      <c r="R133" s="150"/>
      <c r="S133" s="150"/>
      <c r="U133" s="150" t="s">
        <v>23</v>
      </c>
    </row>
    <row r="134" spans="1:21" ht="16.5">
      <c r="A134" s="236">
        <f>SpieleDB!A133</f>
        <v>132</v>
      </c>
      <c r="B134" s="237">
        <f>SpieleDB!J133</f>
        <v>43303</v>
      </c>
      <c r="C134" s="238">
        <f>SpieleDB!D133</f>
        <v>0.5833333333333334</v>
      </c>
      <c r="D134" s="236" t="str">
        <f>SpieleDB!F133</f>
        <v>ACC Hamburg</v>
      </c>
      <c r="E134" s="84" t="s">
        <v>43</v>
      </c>
      <c r="F134" s="236" t="str">
        <f>SpieleDB!G133</f>
        <v>WSF Liblar</v>
      </c>
      <c r="G134" s="236"/>
      <c r="H134" s="84" t="str">
        <f>Saisondaten!C31</f>
        <v>KSVH Berlin</v>
      </c>
      <c r="I134" s="84" t="str">
        <f>Saisondaten!B33</f>
        <v>Göttinger PC</v>
      </c>
      <c r="J134" s="84" t="str">
        <f t="shared" si="2"/>
        <v>ja</v>
      </c>
      <c r="L134" s="150"/>
      <c r="M134" s="150"/>
      <c r="N134" s="150"/>
      <c r="O134" s="150"/>
      <c r="Q134" s="150"/>
      <c r="R134" s="150"/>
      <c r="S134" s="150"/>
      <c r="U134" s="150" t="s">
        <v>23</v>
      </c>
    </row>
    <row r="135" spans="1:21" ht="16.5">
      <c r="A135" s="236">
        <f>SpieleDB!A134</f>
        <v>133</v>
      </c>
      <c r="B135" s="237">
        <f>SpieleDB!J134</f>
        <v>43357</v>
      </c>
      <c r="C135" s="238">
        <f>SpieleDB!D134</f>
        <v>0.3333333333333333</v>
      </c>
      <c r="D135" s="236" t="str">
        <f>SpieleDB!F134</f>
        <v>9. Platz</v>
      </c>
      <c r="E135" s="84" t="s">
        <v>43</v>
      </c>
      <c r="F135" s="236" t="str">
        <f>SpieleDB!G134</f>
        <v>12. Platz</v>
      </c>
      <c r="G135" s="236"/>
      <c r="H135" s="84" t="str">
        <f>'Playoff-Playdowns'!BG10</f>
        <v>3. Platz</v>
      </c>
      <c r="I135" s="84" t="str">
        <f>'Playoff-Playdowns'!BG14</f>
        <v>7. Platz</v>
      </c>
      <c r="J135" s="84" t="str">
        <f t="shared" si="2"/>
        <v>ja</v>
      </c>
      <c r="L135" s="150"/>
      <c r="M135" s="150"/>
      <c r="N135" s="150"/>
      <c r="O135" s="150"/>
      <c r="Q135" s="150"/>
      <c r="R135" s="150"/>
      <c r="S135" s="150"/>
      <c r="U135" s="150" t="s">
        <v>23</v>
      </c>
    </row>
    <row r="136" spans="1:21" ht="16.5">
      <c r="A136" s="236">
        <f>SpieleDB!A135</f>
        <v>134</v>
      </c>
      <c r="B136" s="237">
        <f>SpieleDB!J135</f>
        <v>43357</v>
      </c>
      <c r="C136" s="238">
        <f>SpieleDB!D135</f>
        <v>0.3611111111111111</v>
      </c>
      <c r="D136" s="236" t="str">
        <f>SpieleDB!F135</f>
        <v>1. Platz</v>
      </c>
      <c r="E136" s="84" t="s">
        <v>43</v>
      </c>
      <c r="F136" s="236" t="str">
        <f>SpieleDB!G135</f>
        <v>8. Platz</v>
      </c>
      <c r="G136" s="236"/>
      <c r="H136" s="84" t="str">
        <f>'Playoff-Playdowns'!BG18</f>
        <v>11. Platz</v>
      </c>
      <c r="I136" s="84" t="str">
        <f>'Playoff-Playdowns'!BG13</f>
        <v>6. Platz</v>
      </c>
      <c r="J136" s="84" t="str">
        <f t="shared" si="2"/>
        <v>ja</v>
      </c>
      <c r="L136" s="150"/>
      <c r="M136" s="150"/>
      <c r="N136" s="150"/>
      <c r="O136" s="150"/>
      <c r="Q136" s="150"/>
      <c r="R136" s="150"/>
      <c r="S136" s="150"/>
      <c r="U136" s="150" t="s">
        <v>23</v>
      </c>
    </row>
    <row r="137" spans="1:21" ht="16.5">
      <c r="A137" s="236">
        <f>SpieleDB!A136</f>
        <v>135</v>
      </c>
      <c r="B137" s="237">
        <f>SpieleDB!J136</f>
        <v>43357</v>
      </c>
      <c r="C137" s="238">
        <f>SpieleDB!D136</f>
        <v>0.3888888888888889</v>
      </c>
      <c r="D137" s="236" t="str">
        <f>SpieleDB!F136</f>
        <v>2. Platz</v>
      </c>
      <c r="E137" s="84" t="s">
        <v>43</v>
      </c>
      <c r="F137" s="236" t="str">
        <f>SpieleDB!G136</f>
        <v>7. Platz</v>
      </c>
      <c r="G137" s="236"/>
      <c r="H137" s="84" t="str">
        <f>'Playoff-Playdowns'!BG16</f>
        <v>9. Platz</v>
      </c>
      <c r="I137" s="84" t="str">
        <f>'Playoff-Playdowns'!BG12</f>
        <v>5. Platz</v>
      </c>
      <c r="J137" s="84" t="str">
        <f t="shared" si="2"/>
        <v>ja</v>
      </c>
      <c r="L137" s="150"/>
      <c r="M137" s="150"/>
      <c r="N137" s="150"/>
      <c r="O137" s="150"/>
      <c r="Q137" s="150"/>
      <c r="R137" s="150"/>
      <c r="S137" s="150"/>
      <c r="U137" s="150" t="s">
        <v>23</v>
      </c>
    </row>
    <row r="138" spans="1:21" ht="16.5">
      <c r="A138" s="236">
        <f>SpieleDB!A137</f>
        <v>136</v>
      </c>
      <c r="B138" s="237">
        <f>SpieleDB!J137</f>
        <v>43357</v>
      </c>
      <c r="C138" s="238">
        <f>SpieleDB!D137</f>
        <v>0.4166666666666667</v>
      </c>
      <c r="D138" s="236" t="str">
        <f>SpieleDB!F137</f>
        <v>11. Platz</v>
      </c>
      <c r="E138" s="84" t="s">
        <v>43</v>
      </c>
      <c r="F138" s="236" t="str">
        <f>SpieleDB!G137</f>
        <v>10. Platz</v>
      </c>
      <c r="G138" s="236"/>
      <c r="H138" s="84" t="str">
        <f>'Playoff-Playdowns'!BG8</f>
        <v>1. Platz</v>
      </c>
      <c r="I138" s="84" t="str">
        <f>'Playoff-Playdowns'!BG11</f>
        <v>4. Platz</v>
      </c>
      <c r="J138" s="84" t="str">
        <f t="shared" si="2"/>
        <v>ja</v>
      </c>
      <c r="L138" s="150"/>
      <c r="M138" s="150"/>
      <c r="N138" s="150"/>
      <c r="O138" s="150"/>
      <c r="Q138" s="150"/>
      <c r="R138" s="150"/>
      <c r="S138" s="150"/>
      <c r="U138" s="150" t="s">
        <v>23</v>
      </c>
    </row>
    <row r="139" spans="1:21" ht="16.5">
      <c r="A139" s="236">
        <f>SpieleDB!A138</f>
        <v>137</v>
      </c>
      <c r="B139" s="237">
        <f>SpieleDB!J138</f>
        <v>43357</v>
      </c>
      <c r="C139" s="238">
        <f>SpieleDB!D138</f>
        <v>0.4444444444444445</v>
      </c>
      <c r="D139" s="236" t="str">
        <f>SpieleDB!F138</f>
        <v>3. Platz</v>
      </c>
      <c r="E139" s="84" t="s">
        <v>43</v>
      </c>
      <c r="F139" s="236" t="str">
        <f>SpieleDB!G138</f>
        <v>6. Platz</v>
      </c>
      <c r="G139" s="236"/>
      <c r="H139" s="84" t="str">
        <f>'Playoff-Playdowns'!BG19</f>
        <v>12. Platz</v>
      </c>
      <c r="I139" s="84" t="str">
        <f>'Playoff-Playdowns'!BG9</f>
        <v>2. Platz</v>
      </c>
      <c r="J139" s="84" t="str">
        <f t="shared" si="2"/>
        <v>ja</v>
      </c>
      <c r="L139" s="150"/>
      <c r="M139" s="150"/>
      <c r="N139" s="150"/>
      <c r="O139" s="150"/>
      <c r="Q139" s="150"/>
      <c r="R139" s="150"/>
      <c r="S139" s="150"/>
      <c r="U139" s="150" t="s">
        <v>23</v>
      </c>
    </row>
    <row r="140" spans="1:21" ht="16.5">
      <c r="A140" s="236">
        <f>SpieleDB!A139</f>
        <v>138</v>
      </c>
      <c r="B140" s="237">
        <f>SpieleDB!J139</f>
        <v>43357</v>
      </c>
      <c r="C140" s="238">
        <f>SpieleDB!D139</f>
        <v>0.47222222222222227</v>
      </c>
      <c r="D140" s="236" t="str">
        <f>SpieleDB!F139</f>
        <v>4. Platz</v>
      </c>
      <c r="E140" s="84" t="s">
        <v>43</v>
      </c>
      <c r="F140" s="236" t="str">
        <f>SpieleDB!G139</f>
        <v>5. Platz</v>
      </c>
      <c r="G140" s="236"/>
      <c r="H140" s="84" t="str">
        <f>'Playoff-Playdowns'!BG17</f>
        <v>10. Platz</v>
      </c>
      <c r="I140" s="84" t="str">
        <f>'Playoff-Playdowns'!BG15</f>
        <v>8. Platz</v>
      </c>
      <c r="J140" s="84" t="str">
        <f t="shared" si="2"/>
        <v>ja</v>
      </c>
      <c r="L140" s="150"/>
      <c r="M140" s="150"/>
      <c r="N140" s="150"/>
      <c r="O140" s="150"/>
      <c r="Q140" s="150"/>
      <c r="R140" s="150"/>
      <c r="S140" s="150"/>
      <c r="U140" s="150" t="s">
        <v>23</v>
      </c>
    </row>
    <row r="141" spans="1:21" ht="16.5">
      <c r="A141" s="236">
        <f>SpieleDB!A140</f>
        <v>139</v>
      </c>
      <c r="B141" s="237">
        <f>SpieleDB!J140</f>
        <v>43357</v>
      </c>
      <c r="C141" s="238">
        <f>SpieleDB!D140</f>
        <v>0.5</v>
      </c>
      <c r="D141" s="236" t="str">
        <f>SpieleDB!F140</f>
        <v>12. Platz</v>
      </c>
      <c r="E141" s="84" t="s">
        <v>43</v>
      </c>
      <c r="F141" s="236" t="str">
        <f>SpieleDB!G140</f>
        <v>11. Platz</v>
      </c>
      <c r="G141" s="236"/>
      <c r="H141" s="84" t="str">
        <f>'Playoff-Playdowns'!BG14</f>
        <v>7. Platz</v>
      </c>
      <c r="I141" s="84" t="str">
        <f>'Playoff-Playdowns'!BG10</f>
        <v>3. Platz</v>
      </c>
      <c r="J141" s="84" t="str">
        <f t="shared" si="2"/>
        <v>ja</v>
      </c>
      <c r="L141" s="150"/>
      <c r="M141" s="150"/>
      <c r="N141" s="150"/>
      <c r="O141" s="150"/>
      <c r="Q141" s="150"/>
      <c r="R141" s="150"/>
      <c r="S141" s="150"/>
      <c r="U141" s="150" t="s">
        <v>23</v>
      </c>
    </row>
    <row r="142" spans="1:21" ht="16.5">
      <c r="A142" s="236">
        <f>SpieleDB!A141</f>
        <v>140</v>
      </c>
      <c r="B142" s="237">
        <f>SpieleDB!J141</f>
        <v>43357</v>
      </c>
      <c r="C142" s="238">
        <f>SpieleDB!D141</f>
        <v>0.5277777777777778</v>
      </c>
      <c r="D142" s="236" t="str">
        <f>SpieleDB!F141</f>
        <v>1. Platz</v>
      </c>
      <c r="E142" s="84" t="s">
        <v>43</v>
      </c>
      <c r="F142" s="236" t="str">
        <f>SpieleDB!G141</f>
        <v>8. Platz</v>
      </c>
      <c r="G142" s="236"/>
      <c r="H142" s="84" t="str">
        <f>'Playoff-Playdowns'!BG17</f>
        <v>10. Platz</v>
      </c>
      <c r="I142" s="84" t="str">
        <f>'Playoff-Playdowns'!BG12</f>
        <v>5. Platz</v>
      </c>
      <c r="J142" s="84" t="str">
        <f t="shared" si="2"/>
        <v>ja</v>
      </c>
      <c r="L142" s="150"/>
      <c r="M142" s="150"/>
      <c r="N142" s="150"/>
      <c r="O142" s="150"/>
      <c r="Q142" s="150"/>
      <c r="R142" s="150"/>
      <c r="S142" s="150"/>
      <c r="U142" s="150" t="s">
        <v>23</v>
      </c>
    </row>
    <row r="143" spans="1:21" ht="16.5">
      <c r="A143" s="236">
        <f>SpieleDB!A142</f>
        <v>141</v>
      </c>
      <c r="B143" s="237">
        <f>SpieleDB!J142</f>
        <v>43357</v>
      </c>
      <c r="C143" s="238">
        <f>SpieleDB!D142</f>
        <v>0.5555555555555556</v>
      </c>
      <c r="D143" s="236" t="str">
        <f>SpieleDB!F142</f>
        <v>2. Platz</v>
      </c>
      <c r="E143" s="84" t="s">
        <v>43</v>
      </c>
      <c r="F143" s="236" t="str">
        <f>SpieleDB!G142</f>
        <v>7. Platz</v>
      </c>
      <c r="G143" s="236"/>
      <c r="H143" s="84" t="str">
        <f>'Playoff-Playdowns'!BG19</f>
        <v>12. Platz</v>
      </c>
      <c r="I143" s="84" t="str">
        <f>'Playoff-Playdowns'!BG13</f>
        <v>6. Platz</v>
      </c>
      <c r="J143" s="84" t="str">
        <f t="shared" si="2"/>
        <v>ja</v>
      </c>
      <c r="L143" s="150"/>
      <c r="M143" s="150"/>
      <c r="N143" s="150"/>
      <c r="O143" s="150"/>
      <c r="Q143" s="150"/>
      <c r="R143" s="150"/>
      <c r="S143" s="150"/>
      <c r="U143" s="150" t="s">
        <v>23</v>
      </c>
    </row>
    <row r="144" spans="1:21" ht="16.5">
      <c r="A144" s="236">
        <f>SpieleDB!A143</f>
        <v>142</v>
      </c>
      <c r="B144" s="237">
        <f>SpieleDB!J143</f>
        <v>43357</v>
      </c>
      <c r="C144" s="238">
        <f>SpieleDB!D143</f>
        <v>0.5833333333333334</v>
      </c>
      <c r="D144" s="236" t="str">
        <f>SpieleDB!F143</f>
        <v>10. Platz</v>
      </c>
      <c r="E144" s="84" t="s">
        <v>43</v>
      </c>
      <c r="F144" s="236" t="str">
        <f>SpieleDB!G143</f>
        <v>9. Platz</v>
      </c>
      <c r="G144" s="236"/>
      <c r="H144" s="84" t="str">
        <f>'Playoff-Playdowns'!BG11</f>
        <v>4. Platz</v>
      </c>
      <c r="I144" s="84" t="str">
        <f>'Playoff-Playdowns'!BG8</f>
        <v>1. Platz</v>
      </c>
      <c r="J144" s="84" t="str">
        <f t="shared" si="2"/>
        <v>ja</v>
      </c>
      <c r="L144" s="150"/>
      <c r="M144" s="150"/>
      <c r="N144" s="150"/>
      <c r="O144" s="150"/>
      <c r="Q144" s="150"/>
      <c r="R144" s="150"/>
      <c r="S144" s="150"/>
      <c r="U144" s="150" t="s">
        <v>23</v>
      </c>
    </row>
    <row r="145" spans="1:21" ht="16.5">
      <c r="A145" s="236">
        <f>SpieleDB!A144</f>
        <v>143</v>
      </c>
      <c r="B145" s="237">
        <f>SpieleDB!J144</f>
        <v>43357</v>
      </c>
      <c r="C145" s="238">
        <f>SpieleDB!D144</f>
        <v>0.6111111111111112</v>
      </c>
      <c r="D145" s="236" t="str">
        <f>SpieleDB!F144</f>
        <v>3. Platz</v>
      </c>
      <c r="E145" s="84" t="s">
        <v>43</v>
      </c>
      <c r="F145" s="236" t="str">
        <f>SpieleDB!G144</f>
        <v>6. Platz</v>
      </c>
      <c r="G145" s="236"/>
      <c r="H145" s="84" t="str">
        <f>'Playoff-Playdowns'!BG18</f>
        <v>11. Platz</v>
      </c>
      <c r="I145" s="84" t="str">
        <f>'Playoff-Playdowns'!BG15</f>
        <v>8. Platz</v>
      </c>
      <c r="J145" s="84" t="str">
        <f t="shared" si="2"/>
        <v>ja</v>
      </c>
      <c r="L145" s="150"/>
      <c r="M145" s="150"/>
      <c r="N145" s="150"/>
      <c r="O145" s="150"/>
      <c r="Q145" s="150"/>
      <c r="R145" s="150"/>
      <c r="S145" s="150"/>
      <c r="U145" s="150" t="s">
        <v>23</v>
      </c>
    </row>
    <row r="146" spans="1:21" ht="16.5">
      <c r="A146" s="236">
        <f>SpieleDB!A145</f>
        <v>144</v>
      </c>
      <c r="B146" s="237">
        <f>SpieleDB!J145</f>
        <v>43357</v>
      </c>
      <c r="C146" s="238">
        <f>SpieleDB!D145</f>
        <v>0.638888888888889</v>
      </c>
      <c r="D146" s="236" t="str">
        <f>SpieleDB!F145</f>
        <v>4. Platz</v>
      </c>
      <c r="E146" s="84" t="s">
        <v>43</v>
      </c>
      <c r="F146" s="236" t="str">
        <f>SpieleDB!G145</f>
        <v>5. Platz</v>
      </c>
      <c r="G146" s="236"/>
      <c r="H146" s="84" t="str">
        <f>'Playoff-Playdowns'!BG16</f>
        <v>9. Platz</v>
      </c>
      <c r="I146" s="84" t="str">
        <f>'Playoff-Playdowns'!BG9</f>
        <v>2. Platz</v>
      </c>
      <c r="J146" s="84" t="str">
        <f t="shared" si="2"/>
        <v>ja</v>
      </c>
      <c r="L146" s="150"/>
      <c r="M146" s="150"/>
      <c r="N146" s="150"/>
      <c r="O146" s="150"/>
      <c r="Q146" s="150"/>
      <c r="R146" s="150"/>
      <c r="S146" s="150"/>
      <c r="U146" s="150" t="s">
        <v>23</v>
      </c>
    </row>
    <row r="147" spans="1:21" ht="16.5">
      <c r="A147" s="236">
        <f>SpieleDB!A146</f>
        <v>145</v>
      </c>
      <c r="B147" s="237">
        <f>SpieleDB!J146</f>
        <v>43357</v>
      </c>
      <c r="C147" s="238">
        <f>SpieleDB!D146</f>
        <v>0.6666666666666667</v>
      </c>
      <c r="D147" s="236" t="str">
        <f>SpieleDB!F146</f>
        <v>12. Platz</v>
      </c>
      <c r="E147" s="84" t="s">
        <v>43</v>
      </c>
      <c r="F147" s="236" t="str">
        <f>SpieleDB!G146</f>
        <v>10. Platz</v>
      </c>
      <c r="G147" s="236"/>
      <c r="H147" s="84" t="str">
        <f>'Playoff-Playdowns'!BG13</f>
        <v>6. Platz</v>
      </c>
      <c r="I147" s="84" t="str">
        <f>'Playoff-Playdowns'!BG11</f>
        <v>4. Platz</v>
      </c>
      <c r="J147" s="84" t="str">
        <f t="shared" si="2"/>
        <v>ja</v>
      </c>
      <c r="L147" s="150"/>
      <c r="M147" s="150"/>
      <c r="N147" s="150"/>
      <c r="O147" s="150"/>
      <c r="Q147" s="150"/>
      <c r="R147" s="150"/>
      <c r="S147" s="150"/>
      <c r="U147" s="150" t="s">
        <v>23</v>
      </c>
    </row>
    <row r="148" spans="1:21" ht="16.5">
      <c r="A148" s="236">
        <f>SpieleDB!A147</f>
        <v>146</v>
      </c>
      <c r="B148" s="237">
        <f>SpieleDB!J147</f>
        <v>43357</v>
      </c>
      <c r="C148" s="238">
        <f>SpieleDB!D147</f>
        <v>0.6944444444444445</v>
      </c>
      <c r="D148" s="236" t="str">
        <f>SpieleDB!F147</f>
        <v>1. Platz</v>
      </c>
      <c r="E148" s="84" t="s">
        <v>43</v>
      </c>
      <c r="F148" s="236" t="str">
        <f>SpieleDB!G147</f>
        <v>8. Platz</v>
      </c>
      <c r="G148" s="236"/>
      <c r="H148" s="84" t="str">
        <f>'Playoff-Playdowns'!BG18</f>
        <v>11. Platz</v>
      </c>
      <c r="I148" s="84" t="str">
        <f>'Playoff-Playdowns'!BG12</f>
        <v>5. Platz</v>
      </c>
      <c r="J148" s="84" t="str">
        <f t="shared" si="2"/>
        <v>ja</v>
      </c>
      <c r="L148" s="150"/>
      <c r="M148" s="150"/>
      <c r="N148" s="150"/>
      <c r="O148" s="150"/>
      <c r="Q148" s="150"/>
      <c r="R148" s="150"/>
      <c r="S148" s="150"/>
      <c r="U148" s="150" t="s">
        <v>23</v>
      </c>
    </row>
    <row r="149" spans="1:21" ht="16.5">
      <c r="A149" s="236">
        <f>SpieleDB!A148</f>
        <v>147</v>
      </c>
      <c r="B149" s="237">
        <f>SpieleDB!J148</f>
        <v>43357</v>
      </c>
      <c r="C149" s="238">
        <f>SpieleDB!D148</f>
        <v>0.7222222222222223</v>
      </c>
      <c r="D149" s="236" t="str">
        <f>SpieleDB!F148</f>
        <v>2. Platz</v>
      </c>
      <c r="E149" s="84" t="s">
        <v>43</v>
      </c>
      <c r="F149" s="236" t="str">
        <f>SpieleDB!G148</f>
        <v>7. Platz</v>
      </c>
      <c r="G149" s="236"/>
      <c r="H149" s="84" t="str">
        <f>'Playoff-Playdowns'!BG19</f>
        <v>12. Platz</v>
      </c>
      <c r="I149" s="84" t="str">
        <f>'Playoff-Playdowns'!BG10</f>
        <v>3. Platz</v>
      </c>
      <c r="J149" s="84" t="str">
        <f t="shared" si="2"/>
        <v>ja</v>
      </c>
      <c r="L149" s="150"/>
      <c r="M149" s="150"/>
      <c r="N149" s="150"/>
      <c r="O149" s="150"/>
      <c r="Q149" s="150"/>
      <c r="R149" s="150"/>
      <c r="S149" s="150"/>
      <c r="U149" s="150" t="s">
        <v>23</v>
      </c>
    </row>
    <row r="150" spans="1:21" ht="16.5">
      <c r="A150" s="236">
        <f>SpieleDB!A149</f>
        <v>148</v>
      </c>
      <c r="B150" s="237">
        <f>SpieleDB!J149</f>
        <v>43357</v>
      </c>
      <c r="C150" s="238">
        <f>SpieleDB!D149</f>
        <v>0.7500000000000001</v>
      </c>
      <c r="D150" s="236" t="str">
        <f>SpieleDB!F149</f>
        <v>9. Platz</v>
      </c>
      <c r="E150" s="84" t="s">
        <v>43</v>
      </c>
      <c r="F150" s="236" t="str">
        <f>SpieleDB!G149</f>
        <v>11. Platz</v>
      </c>
      <c r="G150" s="236"/>
      <c r="H150" s="84" t="str">
        <f>'Playoff-Playdowns'!BG15</f>
        <v>8. Platz</v>
      </c>
      <c r="I150" s="84" t="str">
        <f>'Playoff-Playdowns'!BG8</f>
        <v>1. Platz</v>
      </c>
      <c r="J150" s="84" t="str">
        <f t="shared" si="2"/>
        <v>ja</v>
      </c>
      <c r="L150" s="150"/>
      <c r="M150" s="150"/>
      <c r="N150" s="150"/>
      <c r="O150" s="150"/>
      <c r="Q150" s="150"/>
      <c r="R150" s="150"/>
      <c r="S150" s="150"/>
      <c r="U150" s="150" t="s">
        <v>23</v>
      </c>
    </row>
    <row r="151" spans="1:21" ht="16.5">
      <c r="A151" s="236">
        <f>SpieleDB!A150</f>
        <v>149</v>
      </c>
      <c r="B151" s="237">
        <f>SpieleDB!J150</f>
        <v>43357</v>
      </c>
      <c r="C151" s="238">
        <f>SpieleDB!D150</f>
        <v>0.7777777777777779</v>
      </c>
      <c r="D151" s="236" t="str">
        <f>SpieleDB!F150</f>
        <v>3. Platz</v>
      </c>
      <c r="E151" s="84" t="s">
        <v>43</v>
      </c>
      <c r="F151" s="236" t="str">
        <f>SpieleDB!G150</f>
        <v>6. Platz</v>
      </c>
      <c r="G151" s="236"/>
      <c r="H151" s="84" t="str">
        <f>'Playoff-Playdowns'!BG17</f>
        <v>10. Platz</v>
      </c>
      <c r="I151" s="84" t="str">
        <f>'Playoff-Playdowns'!BG9</f>
        <v>2. Platz</v>
      </c>
      <c r="J151" s="84" t="str">
        <f t="shared" si="2"/>
        <v>ja</v>
      </c>
      <c r="L151" s="150"/>
      <c r="M151" s="150"/>
      <c r="N151" s="150"/>
      <c r="O151" s="150"/>
      <c r="Q151" s="150"/>
      <c r="R151" s="150"/>
      <c r="S151" s="150"/>
      <c r="U151" s="150" t="s">
        <v>23</v>
      </c>
    </row>
    <row r="152" spans="1:21" ht="16.5">
      <c r="A152" s="236">
        <f>SpieleDB!A151</f>
        <v>150</v>
      </c>
      <c r="B152" s="237">
        <f>SpieleDB!J151</f>
        <v>43357</v>
      </c>
      <c r="C152" s="238">
        <f>SpieleDB!D151</f>
        <v>0.8055555555555557</v>
      </c>
      <c r="D152" s="236" t="str">
        <f>SpieleDB!F151</f>
        <v>4. Platz</v>
      </c>
      <c r="E152" s="84" t="s">
        <v>43</v>
      </c>
      <c r="F152" s="236" t="str">
        <f>SpieleDB!G151</f>
        <v>5. Platz</v>
      </c>
      <c r="G152" s="236"/>
      <c r="H152" s="84" t="str">
        <f>'Playoff-Playdowns'!BG16</f>
        <v>9. Platz</v>
      </c>
      <c r="I152" s="84" t="str">
        <f>'Playoff-Playdowns'!BG14</f>
        <v>7. Platz</v>
      </c>
      <c r="J152" s="84" t="str">
        <f t="shared" si="2"/>
        <v>ja</v>
      </c>
      <c r="L152" s="150"/>
      <c r="M152" s="150"/>
      <c r="N152" s="150"/>
      <c r="O152" s="150"/>
      <c r="Q152" s="150"/>
      <c r="R152" s="150"/>
      <c r="S152" s="150"/>
      <c r="U152" s="150" t="s">
        <v>23</v>
      </c>
    </row>
    <row r="153" spans="1:21" ht="16.5">
      <c r="A153" s="236">
        <f>SpieleDB!A152</f>
        <v>151</v>
      </c>
      <c r="B153" s="237">
        <f>SpieleDB!J152</f>
        <v>43358</v>
      </c>
      <c r="C153" s="238">
        <f>SpieleDB!D152</f>
        <v>0.3333333333333333</v>
      </c>
      <c r="D153" s="236" t="str">
        <f>SpieleDB!F152</f>
        <v>1. AS Tabelle</v>
      </c>
      <c r="E153" s="84" t="s">
        <v>43</v>
      </c>
      <c r="F153" s="236" t="str">
        <f>SpieleDB!G152</f>
        <v>2. AS Tabelle</v>
      </c>
      <c r="G153" s="236"/>
      <c r="H153" s="84" t="str">
        <f>'Playoff-Playdowns'!BB20</f>
        <v>Gew. Playoff 1A</v>
      </c>
      <c r="I153" s="84" t="str">
        <f>'Playoff-Playdowns'!BC23</f>
        <v>Verl. Playoff 1C</v>
      </c>
      <c r="J153" s="84" t="str">
        <f aca="true" t="shared" si="3" ref="J153:J176">IF(OR(OR(H153="",D153=H153),OR(I153="",F153=I153)),"nein","ja")</f>
        <v>ja</v>
      </c>
      <c r="L153" s="150"/>
      <c r="M153" s="150"/>
      <c r="N153" s="150"/>
      <c r="O153" s="150"/>
      <c r="Q153" s="150"/>
      <c r="R153" s="150"/>
      <c r="S153" s="150"/>
      <c r="U153" s="150" t="s">
        <v>23</v>
      </c>
    </row>
    <row r="154" spans="1:21" ht="16.5">
      <c r="A154" s="236">
        <f>SpieleDB!A153</f>
        <v>152</v>
      </c>
      <c r="B154" s="237">
        <f>SpieleDB!J153</f>
        <v>43358</v>
      </c>
      <c r="C154" s="238">
        <f>SpieleDB!D153</f>
        <v>0.3611111111111111</v>
      </c>
      <c r="D154" s="236" t="str">
        <f>SpieleDB!F153</f>
        <v>3. AS Tabelle</v>
      </c>
      <c r="E154" s="84" t="s">
        <v>43</v>
      </c>
      <c r="F154" s="236" t="str">
        <f>SpieleDB!G153</f>
        <v>4. AS Tabelle</v>
      </c>
      <c r="G154" s="236"/>
      <c r="H154" s="84" t="str">
        <f>'Playoff-Playdowns'!BB23</f>
        <v>Gew. Playoff 1C</v>
      </c>
      <c r="I154" s="84" t="str">
        <f>'Playoff-Playdowns'!BB24</f>
        <v>Gew. Playoff 1D</v>
      </c>
      <c r="J154" s="84" t="str">
        <f t="shared" si="3"/>
        <v>ja</v>
      </c>
      <c r="L154" s="150"/>
      <c r="M154" s="150"/>
      <c r="N154" s="150"/>
      <c r="O154" s="150"/>
      <c r="Q154" s="150"/>
      <c r="R154" s="150"/>
      <c r="S154" s="150"/>
      <c r="U154" s="150" t="s">
        <v>23</v>
      </c>
    </row>
    <row r="155" spans="1:21" ht="16.5">
      <c r="A155" s="236">
        <f>SpieleDB!A154</f>
        <v>153</v>
      </c>
      <c r="B155" s="237">
        <f>SpieleDB!J154</f>
        <v>43358</v>
      </c>
      <c r="C155" s="238">
        <f>SpieleDB!D154</f>
        <v>0.3888888888888889</v>
      </c>
      <c r="D155" s="236" t="str">
        <f>SpieleDB!F154</f>
        <v>Verl. Playoff 1A</v>
      </c>
      <c r="E155" s="84" t="s">
        <v>43</v>
      </c>
      <c r="F155" s="236" t="str">
        <f>SpieleDB!G154</f>
        <v>Verl. Playoff 1D</v>
      </c>
      <c r="G155" s="236"/>
      <c r="H155" s="84" t="str">
        <f>'Playoff-Playdowns'!AE28</f>
        <v>2. AS Tabelle</v>
      </c>
      <c r="I155" s="84" t="str">
        <f>'Playoff-Playdowns'!AE27</f>
        <v>1. AS Tabelle</v>
      </c>
      <c r="J155" s="84" t="str">
        <f t="shared" si="3"/>
        <v>ja</v>
      </c>
      <c r="L155" s="150"/>
      <c r="M155" s="150"/>
      <c r="N155" s="150"/>
      <c r="O155" s="150"/>
      <c r="Q155" s="150"/>
      <c r="R155" s="150"/>
      <c r="S155" s="150"/>
      <c r="U155" s="150" t="s">
        <v>23</v>
      </c>
    </row>
    <row r="156" spans="1:21" ht="16.5">
      <c r="A156" s="236">
        <f>SpieleDB!A155</f>
        <v>154</v>
      </c>
      <c r="B156" s="237">
        <f>SpieleDB!J155</f>
        <v>43358</v>
      </c>
      <c r="C156" s="238">
        <f>SpieleDB!D155</f>
        <v>0.4166666666666667</v>
      </c>
      <c r="D156" s="236" t="str">
        <f>SpieleDB!F155</f>
        <v>Verl. Playoff 1B</v>
      </c>
      <c r="E156" s="84" t="s">
        <v>43</v>
      </c>
      <c r="F156" s="236" t="str">
        <f>SpieleDB!G155</f>
        <v>Verl. Playoff 1C</v>
      </c>
      <c r="G156" s="236"/>
      <c r="H156" s="84" t="str">
        <f>'Playoff-Playdowns'!BB21</f>
        <v>Gew. Playoff 1B</v>
      </c>
      <c r="I156" s="84" t="str">
        <f>'Playoff-Playdowns'!AE29</f>
        <v>3. AS Tabelle</v>
      </c>
      <c r="J156" s="84" t="str">
        <f t="shared" si="3"/>
        <v>ja</v>
      </c>
      <c r="L156" s="150"/>
      <c r="M156" s="150"/>
      <c r="N156" s="150"/>
      <c r="O156" s="150"/>
      <c r="Q156" s="150"/>
      <c r="R156" s="150"/>
      <c r="S156" s="150"/>
      <c r="U156" s="150" t="s">
        <v>23</v>
      </c>
    </row>
    <row r="157" spans="1:21" ht="16.5">
      <c r="A157" s="236">
        <f>SpieleDB!A156</f>
        <v>155</v>
      </c>
      <c r="B157" s="237">
        <f>SpieleDB!J156</f>
        <v>43358</v>
      </c>
      <c r="C157" s="238">
        <f>SpieleDB!D156</f>
        <v>0.4444444444444445</v>
      </c>
      <c r="D157" s="236" t="str">
        <f>SpieleDB!F156</f>
        <v>Gew. Playoff 1A</v>
      </c>
      <c r="E157" s="84" t="s">
        <v>43</v>
      </c>
      <c r="F157" s="236" t="str">
        <f>SpieleDB!G156</f>
        <v>Gew. Playoff 1D</v>
      </c>
      <c r="G157" s="236"/>
      <c r="H157" s="84" t="str">
        <f>'Playoff-Playdowns'!BC20</f>
        <v>Verl. Playoff 1A</v>
      </c>
      <c r="I157" s="84" t="str">
        <f>'Playoff-Playdowns'!AE30</f>
        <v>4. AS Tabelle</v>
      </c>
      <c r="J157" s="84" t="str">
        <f t="shared" si="3"/>
        <v>ja</v>
      </c>
      <c r="L157" s="150"/>
      <c r="M157" s="150"/>
      <c r="N157" s="150"/>
      <c r="O157" s="150"/>
      <c r="Q157" s="150"/>
      <c r="R157" s="150"/>
      <c r="S157" s="150"/>
      <c r="U157" s="150" t="s">
        <v>23</v>
      </c>
    </row>
    <row r="158" spans="1:21" ht="16.5">
      <c r="A158" s="236">
        <f>SpieleDB!A157</f>
        <v>156</v>
      </c>
      <c r="B158" s="237">
        <f>SpieleDB!J157</f>
        <v>43358</v>
      </c>
      <c r="C158" s="238">
        <f>SpieleDB!D157</f>
        <v>0.47222222222222227</v>
      </c>
      <c r="D158" s="236" t="str">
        <f>SpieleDB!F157</f>
        <v>Gew. Playoff 1B</v>
      </c>
      <c r="E158" s="84" t="s">
        <v>43</v>
      </c>
      <c r="F158" s="236" t="str">
        <f>SpieleDB!G157</f>
        <v>Gew. Playoff 1C</v>
      </c>
      <c r="G158" s="236"/>
      <c r="H158" s="84" t="str">
        <f>'Playoff-Playdowns'!BC24</f>
        <v>Verl. Playoff 1D</v>
      </c>
      <c r="I158" s="84" t="str">
        <f>'Playoff-Playdowns'!BC21</f>
        <v>Verl. Playoff 1B</v>
      </c>
      <c r="J158" s="84" t="str">
        <f t="shared" si="3"/>
        <v>ja</v>
      </c>
      <c r="L158" s="150"/>
      <c r="M158" s="150"/>
      <c r="N158" s="150"/>
      <c r="O158" s="150"/>
      <c r="Q158" s="150"/>
      <c r="R158" s="150"/>
      <c r="S158" s="150"/>
      <c r="U158" s="150" t="s">
        <v>23</v>
      </c>
    </row>
    <row r="159" spans="1:21" ht="16.5">
      <c r="A159" s="236">
        <f>SpieleDB!A158</f>
        <v>157</v>
      </c>
      <c r="B159" s="237">
        <f>SpieleDB!J158</f>
        <v>43358</v>
      </c>
      <c r="C159" s="238">
        <f>SpieleDB!D158</f>
        <v>0.5</v>
      </c>
      <c r="D159" s="236" t="str">
        <f>SpieleDB!F158</f>
        <v>Verl. Spiel 151</v>
      </c>
      <c r="E159" s="84" t="s">
        <v>43</v>
      </c>
      <c r="F159" s="236" t="str">
        <f>SpieleDB!G158</f>
        <v>Gew. Spiel 152</v>
      </c>
      <c r="G159" s="236"/>
      <c r="H159" s="84" t="str">
        <f>'Playoff-Playdowns'!BB20</f>
        <v>Gew. Playoff 1A</v>
      </c>
      <c r="I159" s="84" t="str">
        <f>H169</f>
        <v>Verl. Spiel 152</v>
      </c>
      <c r="J159" s="84" t="str">
        <f t="shared" si="3"/>
        <v>ja</v>
      </c>
      <c r="L159" s="150"/>
      <c r="M159" s="150"/>
      <c r="N159" s="150"/>
      <c r="O159" s="150"/>
      <c r="Q159" s="150"/>
      <c r="R159" s="150"/>
      <c r="S159" s="150"/>
      <c r="U159" s="150" t="s">
        <v>23</v>
      </c>
    </row>
    <row r="160" spans="1:21" ht="16.5">
      <c r="A160" s="236">
        <f>SpieleDB!A159</f>
        <v>158</v>
      </c>
      <c r="B160" s="237">
        <f>SpieleDB!J159</f>
        <v>43358</v>
      </c>
      <c r="C160" s="238">
        <f>SpieleDB!D159</f>
        <v>0.5277777777777778</v>
      </c>
      <c r="D160" s="236" t="str">
        <f>SpieleDB!F159</f>
        <v>Verl. Playoff 1A</v>
      </c>
      <c r="E160" s="84" t="s">
        <v>43</v>
      </c>
      <c r="F160" s="236" t="str">
        <f>SpieleDB!G159</f>
        <v>Verl. Playoff 1D</v>
      </c>
      <c r="G160" s="236"/>
      <c r="H160" s="239" t="str">
        <f>'Playoff-Playdowns'!BB24</f>
        <v>Gew. Playoff 1D</v>
      </c>
      <c r="I160" s="239" t="str">
        <f>I169</f>
        <v>Gew. Spiel 151</v>
      </c>
      <c r="J160" s="84" t="str">
        <f t="shared" si="3"/>
        <v>ja</v>
      </c>
      <c r="L160" s="150"/>
      <c r="M160" s="150"/>
      <c r="N160" s="150"/>
      <c r="O160" s="150"/>
      <c r="Q160" s="150"/>
      <c r="R160" s="150"/>
      <c r="S160" s="150"/>
      <c r="U160" s="150" t="s">
        <v>23</v>
      </c>
    </row>
    <row r="161" spans="1:21" ht="16.5">
      <c r="A161" s="236">
        <f>SpieleDB!A160</f>
        <v>159</v>
      </c>
      <c r="B161" s="237">
        <f>SpieleDB!J160</f>
        <v>43358</v>
      </c>
      <c r="C161" s="238">
        <f>SpieleDB!D160</f>
        <v>0.5555555555555556</v>
      </c>
      <c r="D161" s="236" t="str">
        <f>SpieleDB!F160</f>
        <v>Verl. Playoff 1B</v>
      </c>
      <c r="E161" s="84" t="s">
        <v>43</v>
      </c>
      <c r="F161" s="236" t="str">
        <f>SpieleDB!G160</f>
        <v>Verl. Playoff 1C</v>
      </c>
      <c r="G161" s="236"/>
      <c r="H161" s="239" t="str">
        <f>'Playoff-Playdowns'!BB23</f>
        <v>Gew. Playoff 1C</v>
      </c>
      <c r="I161" s="239" t="str">
        <f>'Playoff-Playdowns'!BB21</f>
        <v>Gew. Playoff 1B</v>
      </c>
      <c r="J161" s="84" t="str">
        <f t="shared" si="3"/>
        <v>ja</v>
      </c>
      <c r="L161" s="150"/>
      <c r="M161" s="150"/>
      <c r="N161" s="150"/>
      <c r="O161" s="150"/>
      <c r="Q161" s="150"/>
      <c r="R161" s="150"/>
      <c r="S161" s="150"/>
      <c r="U161" s="150" t="s">
        <v>23</v>
      </c>
    </row>
    <row r="162" spans="1:21" ht="16.5">
      <c r="A162" s="236">
        <f>SpieleDB!A161</f>
        <v>160</v>
      </c>
      <c r="B162" s="237">
        <f>SpieleDB!J161</f>
        <v>43358</v>
      </c>
      <c r="C162" s="238">
        <f>SpieleDB!D161</f>
        <v>0.5833333333333334</v>
      </c>
      <c r="D162" s="236" t="str">
        <f>SpieleDB!F161</f>
        <v>Gew. Playoff 1A</v>
      </c>
      <c r="E162" s="84" t="s">
        <v>43</v>
      </c>
      <c r="F162" s="236" t="str">
        <f>SpieleDB!G161</f>
        <v>Gew. Playoff 1D</v>
      </c>
      <c r="G162" s="236"/>
      <c r="H162" s="239" t="str">
        <f>'Playoff-Playdowns'!H33</f>
        <v>Gew. Spiel 152</v>
      </c>
      <c r="I162" s="239" t="str">
        <f>'Playoff-Playdowns'!F33</f>
        <v>Verl. Spiel 151</v>
      </c>
      <c r="J162" s="84" t="str">
        <f t="shared" si="3"/>
        <v>ja</v>
      </c>
      <c r="L162" s="150"/>
      <c r="M162" s="150"/>
      <c r="N162" s="150"/>
      <c r="O162" s="150"/>
      <c r="Q162" s="150"/>
      <c r="R162" s="150"/>
      <c r="S162" s="150"/>
      <c r="U162" s="150" t="s">
        <v>23</v>
      </c>
    </row>
    <row r="163" spans="1:21" ht="16.5">
      <c r="A163" s="236">
        <f>SpieleDB!A162</f>
        <v>161</v>
      </c>
      <c r="B163" s="237">
        <f>SpieleDB!J162</f>
        <v>43358</v>
      </c>
      <c r="C163" s="238">
        <f>SpieleDB!D162</f>
        <v>0.6111111111111112</v>
      </c>
      <c r="D163" s="236" t="str">
        <f>SpieleDB!F162</f>
        <v>Gew. Playoff 1B</v>
      </c>
      <c r="E163" s="84" t="s">
        <v>43</v>
      </c>
      <c r="F163" s="236" t="str">
        <f>SpieleDB!G162</f>
        <v>Gew. Playoff 1C</v>
      </c>
      <c r="G163" s="236"/>
      <c r="H163" s="239" t="str">
        <f>'Playoff-Playdowns'!BC20</f>
        <v>Verl. Playoff 1A</v>
      </c>
      <c r="I163" s="239" t="str">
        <f>'Playoff-Playdowns'!BC24</f>
        <v>Verl. Playoff 1D</v>
      </c>
      <c r="J163" s="84" t="str">
        <f t="shared" si="3"/>
        <v>ja</v>
      </c>
      <c r="L163" s="150"/>
      <c r="M163" s="150"/>
      <c r="N163" s="150"/>
      <c r="O163" s="150"/>
      <c r="Q163" s="150"/>
      <c r="R163" s="150"/>
      <c r="S163" s="150"/>
      <c r="U163" s="150" t="s">
        <v>23</v>
      </c>
    </row>
    <row r="164" spans="1:21" ht="16.5">
      <c r="A164" s="236">
        <f>SpieleDB!A163</f>
        <v>162</v>
      </c>
      <c r="B164" s="237">
        <f>SpieleDB!J163</f>
        <v>43358</v>
      </c>
      <c r="C164" s="238">
        <f>SpieleDB!D163</f>
        <v>0.638888888888889</v>
      </c>
      <c r="D164" s="236" t="str">
        <f>SpieleDB!F163</f>
        <v>Gew. Spiel 151</v>
      </c>
      <c r="E164" s="84" t="s">
        <v>43</v>
      </c>
      <c r="F164" s="236" t="str">
        <f>SpieleDB!G163</f>
        <v>Gew. Spiel 157</v>
      </c>
      <c r="G164" s="236"/>
      <c r="H164" s="239" t="str">
        <f>'Playoff-Playdowns'!BC21</f>
        <v>Verl. Playoff 1B</v>
      </c>
      <c r="I164" s="239" t="str">
        <f>'Playoff-Playdowns'!BC23</f>
        <v>Verl. Playoff 1C</v>
      </c>
      <c r="J164" s="84" t="str">
        <f t="shared" si="3"/>
        <v>ja</v>
      </c>
      <c r="L164" s="150"/>
      <c r="M164" s="150"/>
      <c r="N164" s="150"/>
      <c r="O164" s="150"/>
      <c r="Q164" s="150"/>
      <c r="R164" s="150"/>
      <c r="S164" s="150"/>
      <c r="U164" s="150" t="s">
        <v>23</v>
      </c>
    </row>
    <row r="165" spans="1:21" ht="16.5">
      <c r="A165" s="236">
        <f>SpieleDB!A164</f>
        <v>163</v>
      </c>
      <c r="B165" s="237">
        <f>SpieleDB!J164</f>
        <v>43358</v>
      </c>
      <c r="C165" s="238">
        <f>SpieleDB!D164</f>
        <v>0.6666666666666667</v>
      </c>
      <c r="D165" s="236" t="str">
        <f>SpieleDB!F164</f>
        <v>Verl. Playoff 1A</v>
      </c>
      <c r="E165" s="84" t="s">
        <v>43</v>
      </c>
      <c r="F165" s="236" t="str">
        <f>SpieleDB!G164</f>
        <v>Verl. Playoff 1D</v>
      </c>
      <c r="G165" s="236"/>
      <c r="H165" s="239" t="str">
        <f>'Playoff-Playdowns'!BB24</f>
        <v>Gew. Playoff 1D</v>
      </c>
      <c r="I165" s="239" t="str">
        <f>'Playoff-Playdowns'!BB20</f>
        <v>Gew. Playoff 1A</v>
      </c>
      <c r="J165" s="84" t="str">
        <f t="shared" si="3"/>
        <v>ja</v>
      </c>
      <c r="L165" s="150"/>
      <c r="M165" s="150"/>
      <c r="N165" s="150"/>
      <c r="O165" s="150"/>
      <c r="Q165" s="150"/>
      <c r="R165" s="150"/>
      <c r="S165" s="150"/>
      <c r="U165" s="150" t="s">
        <v>23</v>
      </c>
    </row>
    <row r="166" spans="1:21" ht="16.5">
      <c r="A166" s="236">
        <f>SpieleDB!A165</f>
        <v>164</v>
      </c>
      <c r="B166" s="237">
        <f>SpieleDB!J165</f>
        <v>43358</v>
      </c>
      <c r="C166" s="238">
        <f>SpieleDB!D165</f>
        <v>0.6944444444444445</v>
      </c>
      <c r="D166" s="236" t="str">
        <f>SpieleDB!F165</f>
        <v>Verl. Playoff 1B</v>
      </c>
      <c r="E166" s="84" t="s">
        <v>43</v>
      </c>
      <c r="F166" s="236" t="str">
        <f>SpieleDB!G165</f>
        <v>Verl. Playoff 1C</v>
      </c>
      <c r="G166" s="236"/>
      <c r="H166" s="239" t="str">
        <f>'Playoff-Playdowns'!BB21</f>
        <v>Gew. Playoff 1B</v>
      </c>
      <c r="I166" s="239" t="str">
        <f>'Playoff-Playdowns'!BB23</f>
        <v>Gew. Playoff 1C</v>
      </c>
      <c r="J166" s="84" t="str">
        <f t="shared" si="3"/>
        <v>ja</v>
      </c>
      <c r="L166" s="150"/>
      <c r="M166" s="150"/>
      <c r="N166" s="150"/>
      <c r="O166" s="150"/>
      <c r="Q166" s="150"/>
      <c r="R166" s="150"/>
      <c r="S166" s="150"/>
      <c r="U166" s="150" t="s">
        <v>23</v>
      </c>
    </row>
    <row r="167" spans="1:21" ht="16.5">
      <c r="A167" s="236">
        <f>SpieleDB!A166</f>
        <v>165</v>
      </c>
      <c r="B167" s="237">
        <f>SpieleDB!J166</f>
        <v>43358</v>
      </c>
      <c r="C167" s="238">
        <f>SpieleDB!D166</f>
        <v>0.7222222222222223</v>
      </c>
      <c r="D167" s="236" t="str">
        <f>SpieleDB!F166</f>
        <v>Gew. Playoff 1A</v>
      </c>
      <c r="E167" s="84" t="s">
        <v>43</v>
      </c>
      <c r="F167" s="236" t="str">
        <f>SpieleDB!G166</f>
        <v>Gew. Playoff 1D</v>
      </c>
      <c r="G167" s="236"/>
      <c r="H167" s="239" t="str">
        <f>'Playoff-Playdowns'!BC24</f>
        <v>Verl. Playoff 1D</v>
      </c>
      <c r="I167" s="239" t="str">
        <f>'Playoff-Playdowns'!BC20</f>
        <v>Verl. Playoff 1A</v>
      </c>
      <c r="J167" s="84" t="str">
        <f t="shared" si="3"/>
        <v>ja</v>
      </c>
      <c r="L167" s="150"/>
      <c r="M167" s="150"/>
      <c r="N167" s="150"/>
      <c r="O167" s="150"/>
      <c r="Q167" s="150"/>
      <c r="R167" s="150"/>
      <c r="S167" s="150"/>
      <c r="U167" s="150" t="s">
        <v>23</v>
      </c>
    </row>
    <row r="168" spans="1:21" ht="16.5">
      <c r="A168" s="236">
        <f>SpieleDB!A167</f>
        <v>166</v>
      </c>
      <c r="B168" s="237">
        <f>SpieleDB!J167</f>
        <v>43358</v>
      </c>
      <c r="C168" s="238">
        <f>SpieleDB!D167</f>
        <v>0.7500000000000001</v>
      </c>
      <c r="D168" s="236" t="str">
        <f>SpieleDB!F167</f>
        <v>Gew. Playoff 1B</v>
      </c>
      <c r="E168" s="84" t="s">
        <v>43</v>
      </c>
      <c r="F168" s="236" t="str">
        <f>SpieleDB!G167</f>
        <v>Gew. Playoff 1C</v>
      </c>
      <c r="G168" s="236"/>
      <c r="H168" s="239" t="str">
        <f>'Playoff-Playdowns'!BC23</f>
        <v>Verl. Playoff 1C</v>
      </c>
      <c r="I168" s="239" t="str">
        <f>'Playoff-Playdowns'!BC21</f>
        <v>Verl. Playoff 1B</v>
      </c>
      <c r="J168" s="84" t="str">
        <f t="shared" si="3"/>
        <v>ja</v>
      </c>
      <c r="L168" s="150"/>
      <c r="M168" s="150"/>
      <c r="N168" s="150"/>
      <c r="O168" s="150"/>
      <c r="Q168" s="150"/>
      <c r="R168" s="150"/>
      <c r="S168" s="150"/>
      <c r="U168" s="150" t="s">
        <v>23</v>
      </c>
    </row>
    <row r="169" spans="1:21" ht="16.5">
      <c r="A169" s="236">
        <f>SpieleDB!A168</f>
        <v>167</v>
      </c>
      <c r="B169" s="237">
        <f>SpieleDB!J168</f>
        <v>43358</v>
      </c>
      <c r="C169" s="238">
        <f>SpieleDB!D168</f>
        <v>0.7777777777777779</v>
      </c>
      <c r="D169" s="236" t="str">
        <f>SpieleDB!F168</f>
        <v>Verl. Playoff 2C</v>
      </c>
      <c r="E169" s="84" t="s">
        <v>43</v>
      </c>
      <c r="F169" s="236" t="str">
        <f>SpieleDB!G168</f>
        <v>Ver. Playoff 2D</v>
      </c>
      <c r="G169" s="236"/>
      <c r="H169" s="239" t="str">
        <f>IF('Playoff-Playdowns'!$I$28="","Verl. Spiel "&amp;'Playoff-Playdowns'!A28,IF('Playoff-Playdowns'!$K$28&gt;'Playoff-Playdowns'!$I$28,'Playoff-Playdowns'!$F$28,'Playoff-Playdowns'!$H$28))</f>
        <v>Verl. Spiel 152</v>
      </c>
      <c r="I169" s="239" t="str">
        <f>'Playoff-Playdowns'!F38</f>
        <v>Gew. Spiel 151</v>
      </c>
      <c r="J169" s="84" t="str">
        <f t="shared" si="3"/>
        <v>ja</v>
      </c>
      <c r="L169" s="150"/>
      <c r="M169" s="150"/>
      <c r="N169" s="150"/>
      <c r="O169" s="150"/>
      <c r="Q169" s="150"/>
      <c r="R169" s="150"/>
      <c r="S169" s="150"/>
      <c r="U169" s="150" t="s">
        <v>23</v>
      </c>
    </row>
    <row r="170" spans="1:21" ht="16.5">
      <c r="A170" s="236">
        <f>SpieleDB!A169</f>
        <v>168</v>
      </c>
      <c r="B170" s="237">
        <f>SpieleDB!J169</f>
        <v>43358</v>
      </c>
      <c r="C170" s="238">
        <f>SpieleDB!D169</f>
        <v>0.8055555555555557</v>
      </c>
      <c r="D170" s="236" t="str">
        <f>SpieleDB!F169</f>
        <v>Gew. Playoff 2C</v>
      </c>
      <c r="E170" s="84" t="s">
        <v>43</v>
      </c>
      <c r="F170" s="236" t="str">
        <f>SpieleDB!G169</f>
        <v>Gew. Playoff 2D</v>
      </c>
      <c r="G170" s="236"/>
      <c r="H170" s="239" t="str">
        <f>I162</f>
        <v>Verl. Spiel 151</v>
      </c>
      <c r="I170" s="239" t="str">
        <f>H162</f>
        <v>Gew. Spiel 152</v>
      </c>
      <c r="J170" s="84" t="str">
        <f t="shared" si="3"/>
        <v>ja</v>
      </c>
      <c r="L170" s="150"/>
      <c r="M170" s="150"/>
      <c r="N170" s="150"/>
      <c r="O170" s="150"/>
      <c r="Q170" s="150"/>
      <c r="R170" s="150"/>
      <c r="S170" s="150"/>
      <c r="U170" s="150" t="s">
        <v>23</v>
      </c>
    </row>
    <row r="171" spans="1:21" ht="16.5">
      <c r="A171" s="236">
        <f>SpieleDB!A170</f>
        <v>169</v>
      </c>
      <c r="B171" s="237">
        <f>SpieleDB!J170</f>
        <v>43359</v>
      </c>
      <c r="C171" s="238">
        <f>SpieleDB!D170</f>
        <v>0.3333333333333333</v>
      </c>
      <c r="D171" s="236" t="str">
        <f>SpieleDB!F170</f>
        <v>Verl. Playoff 2A</v>
      </c>
      <c r="E171" s="84" t="s">
        <v>43</v>
      </c>
      <c r="F171" s="236" t="str">
        <f>SpieleDB!G170</f>
        <v>Verl. Playoff 2B</v>
      </c>
      <c r="G171" s="236"/>
      <c r="H171" s="239" t="str">
        <f>'Playoff-Playdowns'!BC39</f>
        <v>Verl. Playoff 2C</v>
      </c>
      <c r="I171" s="239" t="str">
        <f>'Playoff-Playdowns'!BB40</f>
        <v>Gew. Playoff 2D</v>
      </c>
      <c r="J171" s="84" t="str">
        <f t="shared" si="3"/>
        <v>ja</v>
      </c>
      <c r="L171" s="150"/>
      <c r="M171" s="150"/>
      <c r="N171" s="150"/>
      <c r="O171" s="150"/>
      <c r="Q171" s="150"/>
      <c r="R171" s="150"/>
      <c r="S171" s="150"/>
      <c r="U171" s="150" t="s">
        <v>23</v>
      </c>
    </row>
    <row r="172" spans="1:21" ht="16.5">
      <c r="A172" s="236">
        <f>SpieleDB!A171</f>
        <v>170</v>
      </c>
      <c r="B172" s="237">
        <f>SpieleDB!J171</f>
        <v>43359</v>
      </c>
      <c r="C172" s="238">
        <f>SpieleDB!D171</f>
        <v>0.3888888888888889</v>
      </c>
      <c r="D172" s="236" t="str">
        <f>SpieleDB!F171</f>
        <v>Gew. Playoff 2A</v>
      </c>
      <c r="E172" s="84" t="s">
        <v>43</v>
      </c>
      <c r="F172" s="236" t="str">
        <f>SpieleDB!G171</f>
        <v>Gew. Playoff 2B</v>
      </c>
      <c r="G172" s="236"/>
      <c r="H172" s="239" t="str">
        <f>'Playoff-Playdowns'!BB39</f>
        <v>Gew. Playoff 2C</v>
      </c>
      <c r="I172" s="239" t="str">
        <f>'Playoff-Playdowns'!BC40</f>
        <v>Ver. Playoff 2D</v>
      </c>
      <c r="J172" s="84" t="str">
        <f t="shared" si="3"/>
        <v>ja</v>
      </c>
      <c r="L172" s="150"/>
      <c r="M172" s="150"/>
      <c r="N172" s="150"/>
      <c r="O172" s="150"/>
      <c r="Q172" s="150"/>
      <c r="R172" s="150"/>
      <c r="S172" s="150"/>
      <c r="U172" s="150" t="s">
        <v>23</v>
      </c>
    </row>
    <row r="173" spans="1:21" ht="16.5">
      <c r="A173" s="236">
        <f>SpieleDB!A172</f>
        <v>171</v>
      </c>
      <c r="B173" s="237">
        <f>SpieleDB!J172</f>
        <v>43359</v>
      </c>
      <c r="C173" s="238">
        <f>SpieleDB!D172</f>
        <v>0.4166666666666667</v>
      </c>
      <c r="D173" s="236" t="str">
        <f>SpieleDB!F172</f>
        <v>Verl. Playoff 2A</v>
      </c>
      <c r="E173" s="84" t="s">
        <v>43</v>
      </c>
      <c r="F173" s="236" t="str">
        <f>SpieleDB!G172</f>
        <v>Verl. Playoff 2B</v>
      </c>
      <c r="G173" s="236"/>
      <c r="H173" s="239" t="str">
        <f>I169</f>
        <v>Gew. Spiel 151</v>
      </c>
      <c r="I173" s="239" t="str">
        <f>H169</f>
        <v>Verl. Spiel 152</v>
      </c>
      <c r="J173" s="84" t="str">
        <f t="shared" si="3"/>
        <v>ja</v>
      </c>
      <c r="L173" s="150"/>
      <c r="M173" s="150"/>
      <c r="N173" s="150"/>
      <c r="O173" s="150"/>
      <c r="Q173" s="150"/>
      <c r="R173" s="150"/>
      <c r="S173" s="150"/>
      <c r="U173" s="150" t="s">
        <v>23</v>
      </c>
    </row>
    <row r="174" spans="1:21" ht="16.5">
      <c r="A174" s="240" t="str">
        <f>SpieleDB!A173</f>
        <v>171a</v>
      </c>
      <c r="B174" s="237">
        <f>SpieleDB!J173</f>
        <v>43359</v>
      </c>
      <c r="C174" s="238">
        <f>SpieleDB!D173</f>
        <v>0.4375</v>
      </c>
      <c r="D174" s="236" t="str">
        <f>SpieleDB!F173</f>
        <v>Verl. Playoff 2A</v>
      </c>
      <c r="E174" s="84" t="s">
        <v>43</v>
      </c>
      <c r="F174" s="236" t="str">
        <f>SpieleDB!G173</f>
        <v>Verl. Playoff 2B</v>
      </c>
      <c r="G174" s="236"/>
      <c r="H174" s="239" t="str">
        <f>I170</f>
        <v>Gew. Spiel 152</v>
      </c>
      <c r="I174" s="239" t="str">
        <f>H170</f>
        <v>Verl. Spiel 151</v>
      </c>
      <c r="J174" s="84" t="str">
        <f t="shared" si="3"/>
        <v>ja</v>
      </c>
      <c r="L174" s="150"/>
      <c r="M174" s="150"/>
      <c r="N174" s="150"/>
      <c r="O174" s="150"/>
      <c r="Q174" s="150"/>
      <c r="R174" s="150"/>
      <c r="S174" s="150"/>
      <c r="U174" s="150" t="s">
        <v>23</v>
      </c>
    </row>
    <row r="175" spans="1:21" ht="16.5">
      <c r="A175" s="240">
        <f>SpieleDB!A174</f>
        <v>172</v>
      </c>
      <c r="B175" s="237">
        <f>SpieleDB!J174</f>
        <v>43359</v>
      </c>
      <c r="C175" s="238">
        <f>SpieleDB!D174</f>
        <v>0.5555555555555556</v>
      </c>
      <c r="D175" s="236" t="str">
        <f>SpieleDB!F174</f>
        <v>Gew. Playoff 2A</v>
      </c>
      <c r="E175" s="84" t="s">
        <v>43</v>
      </c>
      <c r="F175" s="236" t="str">
        <f>SpieleDB!G174</f>
        <v>Gew. Playoff 2B</v>
      </c>
      <c r="G175" s="236"/>
      <c r="H175" s="239" t="str">
        <f>'Playoff-Playdowns'!BB40</f>
        <v>Gew. Playoff 2D</v>
      </c>
      <c r="I175" s="239" t="str">
        <f>'Playoff-Playdowns'!BC40</f>
        <v>Ver. Playoff 2D</v>
      </c>
      <c r="J175" s="84" t="str">
        <f t="shared" si="3"/>
        <v>ja</v>
      </c>
      <c r="L175" s="150"/>
      <c r="M175" s="150"/>
      <c r="N175" s="150"/>
      <c r="O175" s="150"/>
      <c r="Q175" s="150"/>
      <c r="R175" s="150"/>
      <c r="S175" s="150"/>
      <c r="U175" s="150" t="s">
        <v>23</v>
      </c>
    </row>
    <row r="176" spans="1:21" ht="16.5">
      <c r="A176" s="240" t="str">
        <f>SpieleDB!A175</f>
        <v>172a</v>
      </c>
      <c r="B176" s="237">
        <f>SpieleDB!J175</f>
        <v>43359</v>
      </c>
      <c r="C176" s="238">
        <f>SpieleDB!D175</f>
        <v>0.5833333333333334</v>
      </c>
      <c r="D176" s="236" t="str">
        <f>SpieleDB!F175</f>
        <v>Gew. Playoff 2A</v>
      </c>
      <c r="E176" s="84" t="s">
        <v>43</v>
      </c>
      <c r="F176" s="236" t="str">
        <f>SpieleDB!G175</f>
        <v>Gew. Playoff 2B</v>
      </c>
      <c r="G176" s="236"/>
      <c r="H176" s="239" t="str">
        <f>'Playoff-Playdowns'!BB39</f>
        <v>Gew. Playoff 2C</v>
      </c>
      <c r="I176" s="239" t="str">
        <f>'Playoff-Playdowns'!BC39</f>
        <v>Verl. Playoff 2C</v>
      </c>
      <c r="J176" s="84" t="str">
        <f t="shared" si="3"/>
        <v>ja</v>
      </c>
      <c r="L176" s="150"/>
      <c r="M176" s="150"/>
      <c r="N176" s="150"/>
      <c r="O176" s="150"/>
      <c r="Q176" s="150"/>
      <c r="R176" s="150"/>
      <c r="S176" s="150"/>
      <c r="U176" s="150" t="s">
        <v>23</v>
      </c>
    </row>
    <row r="177" spans="2:5" ht="16.5">
      <c r="B177" s="72"/>
      <c r="C177" s="70"/>
      <c r="E177" s="68"/>
    </row>
    <row r="178" spans="2:5" ht="16.5">
      <c r="B178" s="72"/>
      <c r="C178" s="70"/>
      <c r="E178" s="68"/>
    </row>
    <row r="179" spans="2:5" ht="16.5">
      <c r="B179" s="72"/>
      <c r="C179" s="70"/>
      <c r="E179" s="68"/>
    </row>
    <row r="180" spans="2:5" ht="16.5">
      <c r="B180" s="72"/>
      <c r="C180" s="70"/>
      <c r="E180" s="68"/>
    </row>
    <row r="181" spans="2:5" ht="16.5">
      <c r="B181" s="72"/>
      <c r="C181" s="70"/>
      <c r="E181" s="68"/>
    </row>
    <row r="182" spans="2:5" ht="16.5">
      <c r="B182" s="72"/>
      <c r="C182" s="70"/>
      <c r="E182" s="68"/>
    </row>
    <row r="183" spans="2:5" ht="16.5">
      <c r="B183" s="72"/>
      <c r="C183" s="70"/>
      <c r="E183" s="68"/>
    </row>
    <row r="184" spans="2:5" ht="16.5">
      <c r="B184" s="72"/>
      <c r="C184" s="70"/>
      <c r="E184" s="68"/>
    </row>
    <row r="185" spans="2:5" ht="16.5">
      <c r="B185" s="72"/>
      <c r="C185" s="70"/>
      <c r="E185" s="68"/>
    </row>
    <row r="186" spans="2:5" ht="16.5">
      <c r="B186" s="72"/>
      <c r="C186" s="70"/>
      <c r="E186" s="68"/>
    </row>
    <row r="187" spans="2:5" ht="16.5">
      <c r="B187" s="72"/>
      <c r="C187" s="70"/>
      <c r="E187" s="68"/>
    </row>
    <row r="188" spans="2:5" ht="16.5">
      <c r="B188" s="72"/>
      <c r="C188" s="70"/>
      <c r="E188" s="68"/>
    </row>
    <row r="189" spans="2:5" ht="16.5">
      <c r="B189" s="72"/>
      <c r="C189" s="70"/>
      <c r="E189" s="68"/>
    </row>
    <row r="190" spans="2:5" ht="16.5">
      <c r="B190" s="72"/>
      <c r="C190" s="70"/>
      <c r="E190" s="68"/>
    </row>
    <row r="191" spans="2:5" ht="16.5">
      <c r="B191" s="72"/>
      <c r="C191" s="70"/>
      <c r="E191" s="68"/>
    </row>
    <row r="192" spans="2:5" ht="16.5">
      <c r="B192" s="72"/>
      <c r="C192" s="70"/>
      <c r="E192" s="68"/>
    </row>
    <row r="193" spans="2:5" ht="16.5">
      <c r="B193" s="72"/>
      <c r="C193" s="70"/>
      <c r="E193" s="68"/>
    </row>
    <row r="194" spans="2:3" ht="16.5">
      <c r="B194" s="72"/>
      <c r="C194" s="70"/>
    </row>
    <row r="195" spans="2:3" ht="16.5">
      <c r="B195" s="72"/>
      <c r="C195" s="70"/>
    </row>
    <row r="196" spans="2:3" ht="16.5">
      <c r="B196" s="72"/>
      <c r="C196" s="70"/>
    </row>
    <row r="197" spans="2:3" ht="16.5">
      <c r="B197" s="72"/>
      <c r="C197" s="70"/>
    </row>
    <row r="198" spans="2:3" ht="16.5">
      <c r="B198" s="72"/>
      <c r="C198" s="70"/>
    </row>
    <row r="199" spans="2:3" ht="16.5">
      <c r="B199" s="72"/>
      <c r="C199" s="70"/>
    </row>
    <row r="200" spans="2:3" ht="16.5">
      <c r="B200" s="72"/>
      <c r="C200" s="70"/>
    </row>
    <row r="201" spans="2:3" ht="16.5">
      <c r="B201" s="72"/>
      <c r="C201" s="70"/>
    </row>
    <row r="202" spans="2:3" ht="16.5">
      <c r="B202" s="72"/>
      <c r="C202" s="70"/>
    </row>
    <row r="203" spans="2:3" ht="16.5">
      <c r="B203" s="72"/>
      <c r="C203" s="70"/>
    </row>
    <row r="204" spans="2:3" ht="16.5">
      <c r="B204" s="72"/>
      <c r="C204" s="70"/>
    </row>
  </sheetData>
  <sheetProtection selectLockedCells="1"/>
  <mergeCells count="6">
    <mergeCell ref="Q1:S1"/>
    <mergeCell ref="D1:F1"/>
    <mergeCell ref="A1:A2"/>
    <mergeCell ref="C1:C2"/>
    <mergeCell ref="H1:I1"/>
    <mergeCell ref="L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3:J33"/>
  <sheetViews>
    <sheetView showGridLines="0" showRowColHeaders="0" zoomScalePageLayoutView="0" workbookViewId="0" topLeftCell="A1">
      <selection activeCell="D8" sqref="D8"/>
    </sheetView>
  </sheetViews>
  <sheetFormatPr defaultColWidth="11.421875" defaultRowHeight="15"/>
  <cols>
    <col min="1" max="1" width="22.28125" style="50" bestFit="1" customWidth="1"/>
    <col min="2" max="2" width="27.8515625" style="50" bestFit="1" customWidth="1"/>
    <col min="3" max="3" width="25.140625" style="50" bestFit="1" customWidth="1"/>
    <col min="4" max="5" width="20.28125" style="50" customWidth="1"/>
    <col min="6" max="6" width="19.140625" style="50" customWidth="1"/>
    <col min="7" max="16384" width="11.421875" style="50" customWidth="1"/>
  </cols>
  <sheetData>
    <row r="3" spans="1:2" ht="33">
      <c r="A3" s="89" t="s">
        <v>6</v>
      </c>
      <c r="B3" s="101">
        <v>2018</v>
      </c>
    </row>
    <row r="5" spans="1:6" ht="26.25">
      <c r="A5" s="384" t="s">
        <v>137</v>
      </c>
      <c r="B5" s="384"/>
      <c r="C5" s="384"/>
      <c r="D5" s="384"/>
      <c r="E5" s="384"/>
      <c r="F5" s="384"/>
    </row>
    <row r="6" spans="1:6" ht="16.5">
      <c r="A6" s="382" t="s">
        <v>18</v>
      </c>
      <c r="B6" s="385" t="s">
        <v>0</v>
      </c>
      <c r="C6" s="386"/>
      <c r="D6" s="385" t="s">
        <v>5</v>
      </c>
      <c r="E6" s="386"/>
      <c r="F6" s="382" t="s">
        <v>20</v>
      </c>
    </row>
    <row r="7" spans="1:6" ht="16.5">
      <c r="A7" s="383"/>
      <c r="B7" s="92" t="s">
        <v>35</v>
      </c>
      <c r="C7" s="93" t="s">
        <v>36</v>
      </c>
      <c r="D7" s="94" t="s">
        <v>138</v>
      </c>
      <c r="E7" s="95" t="s">
        <v>37</v>
      </c>
      <c r="F7" s="383"/>
    </row>
    <row r="8" spans="1:6" ht="16.5">
      <c r="A8" s="91" t="s">
        <v>1</v>
      </c>
      <c r="B8" s="97">
        <v>43225</v>
      </c>
      <c r="C8" s="98">
        <f>B8+1</f>
        <v>43226</v>
      </c>
      <c r="D8" s="99" t="s">
        <v>272</v>
      </c>
      <c r="E8" s="100" t="s">
        <v>270</v>
      </c>
      <c r="F8" s="88" t="s">
        <v>22</v>
      </c>
    </row>
    <row r="9" spans="1:6" ht="16.5">
      <c r="A9" s="91" t="s">
        <v>2</v>
      </c>
      <c r="B9" s="97">
        <v>43253</v>
      </c>
      <c r="C9" s="98">
        <f>B9+1</f>
        <v>43254</v>
      </c>
      <c r="D9" s="99" t="s">
        <v>24</v>
      </c>
      <c r="E9" s="100" t="s">
        <v>23</v>
      </c>
      <c r="F9" s="88" t="s">
        <v>21</v>
      </c>
    </row>
    <row r="10" spans="1:6" ht="16.5">
      <c r="A10" s="91" t="s">
        <v>3</v>
      </c>
      <c r="B10" s="97">
        <v>43281</v>
      </c>
      <c r="C10" s="98">
        <f>B10+1</f>
        <v>43282</v>
      </c>
      <c r="D10" s="99" t="s">
        <v>25</v>
      </c>
      <c r="E10" s="100" t="s">
        <v>273</v>
      </c>
      <c r="F10" s="88" t="s">
        <v>22</v>
      </c>
    </row>
    <row r="11" spans="1:6" ht="16.5">
      <c r="A11" s="91" t="s">
        <v>4</v>
      </c>
      <c r="B11" s="97">
        <v>43302</v>
      </c>
      <c r="C11" s="98">
        <f>B11+1</f>
        <v>43303</v>
      </c>
      <c r="D11" s="99" t="s">
        <v>274</v>
      </c>
      <c r="E11" s="100" t="s">
        <v>23</v>
      </c>
      <c r="F11" s="88" t="s">
        <v>21</v>
      </c>
    </row>
    <row r="12" spans="1:6" ht="16.5">
      <c r="A12" s="91" t="s">
        <v>175</v>
      </c>
      <c r="B12" s="97">
        <v>43357</v>
      </c>
      <c r="C12" s="98">
        <f>B12+2</f>
        <v>43359</v>
      </c>
      <c r="D12" s="99" t="s">
        <v>269</v>
      </c>
      <c r="E12" s="100" t="s">
        <v>23</v>
      </c>
      <c r="F12" s="88" t="s">
        <v>23</v>
      </c>
    </row>
    <row r="15" spans="1:5" ht="26.25">
      <c r="A15" s="384" t="s">
        <v>7</v>
      </c>
      <c r="B15" s="384"/>
      <c r="C15" s="384"/>
      <c r="D15" s="387"/>
      <c r="E15" s="387"/>
    </row>
    <row r="16" spans="1:5" ht="17.25">
      <c r="A16" s="381" t="s">
        <v>60</v>
      </c>
      <c r="B16" s="381"/>
      <c r="C16" s="381"/>
      <c r="D16" s="64"/>
      <c r="E16" s="64"/>
    </row>
    <row r="17" spans="1:3" ht="16.5">
      <c r="A17" s="90" t="s">
        <v>8</v>
      </c>
      <c r="B17" s="90" t="s">
        <v>9</v>
      </c>
      <c r="C17" s="90" t="s">
        <v>10</v>
      </c>
    </row>
    <row r="18" spans="1:3" ht="16.5">
      <c r="A18" s="90" t="s">
        <v>11</v>
      </c>
      <c r="B18" s="88" t="s">
        <v>28</v>
      </c>
      <c r="C18" s="88" t="s">
        <v>32</v>
      </c>
    </row>
    <row r="19" spans="1:10" ht="16.5">
      <c r="A19" s="90" t="s">
        <v>12</v>
      </c>
      <c r="B19" s="88" t="s">
        <v>31</v>
      </c>
      <c r="C19" s="88" t="s">
        <v>33</v>
      </c>
      <c r="I19" s="71"/>
      <c r="J19" s="71"/>
    </row>
    <row r="20" spans="1:10" ht="16.5">
      <c r="A20" s="90" t="s">
        <v>13</v>
      </c>
      <c r="B20" s="88" t="s">
        <v>56</v>
      </c>
      <c r="C20" s="88" t="s">
        <v>34</v>
      </c>
      <c r="I20" s="71"/>
      <c r="J20" s="71"/>
    </row>
    <row r="21" spans="1:10" ht="16.5">
      <c r="A21" s="90" t="s">
        <v>14</v>
      </c>
      <c r="B21" s="88" t="s">
        <v>29</v>
      </c>
      <c r="C21" s="88" t="s">
        <v>57</v>
      </c>
      <c r="I21" s="71"/>
      <c r="J21" s="71"/>
    </row>
    <row r="22" spans="1:3" ht="16.5">
      <c r="A22" s="90" t="s">
        <v>15</v>
      </c>
      <c r="B22" s="88" t="s">
        <v>30</v>
      </c>
      <c r="C22" s="88" t="s">
        <v>271</v>
      </c>
    </row>
    <row r="23" spans="1:3" ht="16.5">
      <c r="A23" s="90" t="s">
        <v>16</v>
      </c>
      <c r="B23" s="88" t="s">
        <v>275</v>
      </c>
      <c r="C23" s="88" t="s">
        <v>276</v>
      </c>
    </row>
    <row r="25" spans="1:3" ht="17.25">
      <c r="A25" s="381" t="s">
        <v>136</v>
      </c>
      <c r="B25" s="381"/>
      <c r="C25" s="381"/>
    </row>
    <row r="26" spans="1:3" ht="16.5">
      <c r="A26" s="91" t="s">
        <v>61</v>
      </c>
      <c r="B26" s="96" t="str">
        <f>IF(TabellenDB!Q18=132,"ja","nein")</f>
        <v>ja</v>
      </c>
      <c r="C26" s="91"/>
    </row>
    <row r="27" spans="1:3" ht="16.5">
      <c r="A27" s="90" t="s">
        <v>8</v>
      </c>
      <c r="B27" s="90" t="s">
        <v>9</v>
      </c>
      <c r="C27" s="90" t="s">
        <v>10</v>
      </c>
    </row>
    <row r="28" spans="1:3" ht="16.5">
      <c r="A28" s="90" t="s">
        <v>11</v>
      </c>
      <c r="B28" s="50" t="str">
        <f>IF($B$26="nein",$A28&amp;B$27,TabellenDB!O68)</f>
        <v>KRM Essen</v>
      </c>
      <c r="C28" s="50" t="str">
        <f>IF($B$26="nein",$A28&amp;C$27,TabellenDB!O74)</f>
        <v>RSV Hannover</v>
      </c>
    </row>
    <row r="29" spans="1:3" ht="16.5">
      <c r="A29" s="90" t="s">
        <v>12</v>
      </c>
      <c r="B29" s="50" t="str">
        <f>IF($B$26="nein",$A29&amp;B$27,TabellenDB!O69)</f>
        <v>WSF Liblar</v>
      </c>
      <c r="C29" s="50" t="str">
        <f>IF($B$26="nein",$A29&amp;C$27,TabellenDB!O75)</f>
        <v>ACC Hamburg</v>
      </c>
    </row>
    <row r="30" spans="1:3" ht="16.5">
      <c r="A30" s="90" t="s">
        <v>13</v>
      </c>
      <c r="B30" s="50" t="str">
        <f>IF($B$26="nein",$A30&amp;B$27,TabellenDB!O70)</f>
        <v>1. MKC Duisburg</v>
      </c>
      <c r="C30" s="50" t="str">
        <f>IF($B$26="nein",$A30&amp;C$27,TabellenDB!O76)</f>
        <v>KCNW Berlin</v>
      </c>
    </row>
    <row r="31" spans="1:3" ht="16.5">
      <c r="A31" s="90" t="s">
        <v>14</v>
      </c>
      <c r="B31" s="50" t="str">
        <f>IF($B$26="nein",$A31&amp;B$27,TabellenDB!O71)</f>
        <v>KGW Essen</v>
      </c>
      <c r="C31" s="50" t="str">
        <f>IF($B$26="nein",$A31&amp;C$27,TabellenDB!O77)</f>
        <v>KSVH Berlin</v>
      </c>
    </row>
    <row r="32" spans="1:3" ht="16.5">
      <c r="A32" s="90" t="s">
        <v>15</v>
      </c>
      <c r="B32" s="50" t="str">
        <f>IF($B$26="nein",$A32&amp;B$27,TabellenDB!O72)</f>
        <v>KC Wetter</v>
      </c>
      <c r="C32" s="50" t="str">
        <f>IF($B$26="nein",$A32&amp;C$27,TabellenDB!O78)</f>
        <v>VK Berlin</v>
      </c>
    </row>
    <row r="33" spans="1:3" ht="16.5">
      <c r="A33" s="90" t="s">
        <v>16</v>
      </c>
      <c r="B33" s="50" t="str">
        <f>IF($B$26="nein",$A33&amp;B$27,TabellenDB!O73)</f>
        <v>Göttinger PC</v>
      </c>
      <c r="C33" s="50" t="str">
        <f>IF($B$26="nein",$A33&amp;C$27,TabellenDB!O79)</f>
        <v>KSV Glauchau</v>
      </c>
    </row>
  </sheetData>
  <sheetProtection sheet="1" objects="1" scenarios="1" selectLockedCells="1"/>
  <mergeCells count="9">
    <mergeCell ref="A25:C25"/>
    <mergeCell ref="A6:A7"/>
    <mergeCell ref="F6:F7"/>
    <mergeCell ref="A5:F5"/>
    <mergeCell ref="B6:C6"/>
    <mergeCell ref="D6:E6"/>
    <mergeCell ref="D15:E15"/>
    <mergeCell ref="A16:C16"/>
    <mergeCell ref="A15:C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J31" sqref="J31"/>
    </sheetView>
  </sheetViews>
  <sheetFormatPr defaultColWidth="11.421875" defaultRowHeight="15"/>
  <cols>
    <col min="1" max="1" width="15.28125" style="0" bestFit="1" customWidth="1"/>
    <col min="2" max="2" width="4.00390625" style="0" bestFit="1" customWidth="1"/>
    <col min="3" max="3" width="6.28125" style="0" bestFit="1" customWidth="1"/>
    <col min="4" max="4" width="8.8515625" style="0" bestFit="1" customWidth="1"/>
    <col min="5" max="5" width="17.8515625" style="0" bestFit="1" customWidth="1"/>
    <col min="6" max="6" width="13.57421875" style="0" customWidth="1"/>
  </cols>
  <sheetData>
    <row r="1" spans="1:6" ht="15">
      <c r="A1" t="s">
        <v>76</v>
      </c>
      <c r="B1" t="s">
        <v>58</v>
      </c>
      <c r="C1" t="s">
        <v>68</v>
      </c>
      <c r="D1" t="s">
        <v>17</v>
      </c>
      <c r="E1" t="s">
        <v>18</v>
      </c>
      <c r="F1" t="s">
        <v>19</v>
      </c>
    </row>
    <row r="2" spans="1:6" ht="15">
      <c r="A2" t="str">
        <f>Saisondaten!$B$18</f>
        <v>KRM Essen</v>
      </c>
      <c r="B2">
        <v>1</v>
      </c>
      <c r="C2" t="str">
        <f>IF(OR(D2=0,E2=0,F2=0),"nein","ja")</f>
        <v>nein</v>
      </c>
      <c r="D2">
        <f>Spielerdaten!A6</f>
        <v>0</v>
      </c>
      <c r="E2">
        <f>Spielerdaten!B6</f>
        <v>0</v>
      </c>
      <c r="F2">
        <f>Spielerdaten!C6</f>
        <v>0</v>
      </c>
    </row>
    <row r="3" spans="1:6" ht="15">
      <c r="A3" t="str">
        <f>Saisondaten!$B$18</f>
        <v>KRM Essen</v>
      </c>
      <c r="B3">
        <v>2</v>
      </c>
      <c r="C3" t="str">
        <f aca="true" t="shared" si="0" ref="C3:C66">IF(OR(D3=0,E3=0,F3=0),"nein","ja")</f>
        <v>nein</v>
      </c>
      <c r="D3">
        <f>Spielerdaten!A7</f>
        <v>0</v>
      </c>
      <c r="E3">
        <f>Spielerdaten!B7</f>
        <v>0</v>
      </c>
      <c r="F3">
        <f>Spielerdaten!C7</f>
        <v>0</v>
      </c>
    </row>
    <row r="4" spans="1:6" ht="15">
      <c r="A4" t="str">
        <f>Saisondaten!$B$18</f>
        <v>KRM Essen</v>
      </c>
      <c r="B4">
        <v>3</v>
      </c>
      <c r="C4" t="str">
        <f t="shared" si="0"/>
        <v>nein</v>
      </c>
      <c r="D4">
        <f>Spielerdaten!A8</f>
        <v>0</v>
      </c>
      <c r="E4">
        <f>Spielerdaten!B8</f>
        <v>0</v>
      </c>
      <c r="F4">
        <f>Spielerdaten!C8</f>
        <v>0</v>
      </c>
    </row>
    <row r="5" spans="1:6" ht="15">
      <c r="A5" t="str">
        <f>Saisondaten!$B$18</f>
        <v>KRM Essen</v>
      </c>
      <c r="B5">
        <v>4</v>
      </c>
      <c r="C5" t="str">
        <f t="shared" si="0"/>
        <v>nein</v>
      </c>
      <c r="D5">
        <f>Spielerdaten!A9</f>
        <v>0</v>
      </c>
      <c r="E5">
        <f>Spielerdaten!B9</f>
        <v>0</v>
      </c>
      <c r="F5">
        <f>Spielerdaten!C9</f>
        <v>0</v>
      </c>
    </row>
    <row r="6" spans="1:6" ht="15">
      <c r="A6" t="str">
        <f>Saisondaten!$B$18</f>
        <v>KRM Essen</v>
      </c>
      <c r="B6">
        <v>5</v>
      </c>
      <c r="C6" t="str">
        <f t="shared" si="0"/>
        <v>nein</v>
      </c>
      <c r="D6">
        <f>Spielerdaten!A10</f>
        <v>0</v>
      </c>
      <c r="E6">
        <f>Spielerdaten!B10</f>
        <v>0</v>
      </c>
      <c r="F6">
        <f>Spielerdaten!C10</f>
        <v>0</v>
      </c>
    </row>
    <row r="7" spans="1:6" ht="15">
      <c r="A7" t="str">
        <f>Saisondaten!$B$18</f>
        <v>KRM Essen</v>
      </c>
      <c r="B7">
        <v>6</v>
      </c>
      <c r="C7" t="str">
        <f t="shared" si="0"/>
        <v>nein</v>
      </c>
      <c r="D7">
        <f>Spielerdaten!A11</f>
        <v>0</v>
      </c>
      <c r="E7">
        <f>Spielerdaten!B11</f>
        <v>0</v>
      </c>
      <c r="F7">
        <f>Spielerdaten!C11</f>
        <v>0</v>
      </c>
    </row>
    <row r="8" spans="1:6" ht="15">
      <c r="A8" t="str">
        <f>Saisondaten!$B$18</f>
        <v>KRM Essen</v>
      </c>
      <c r="B8">
        <v>7</v>
      </c>
      <c r="C8" t="str">
        <f t="shared" si="0"/>
        <v>nein</v>
      </c>
      <c r="D8">
        <f>Spielerdaten!A12</f>
        <v>0</v>
      </c>
      <c r="E8">
        <f>Spielerdaten!B12</f>
        <v>0</v>
      </c>
      <c r="F8">
        <f>Spielerdaten!C12</f>
        <v>0</v>
      </c>
    </row>
    <row r="9" spans="1:6" ht="15">
      <c r="A9" t="str">
        <f>Saisondaten!$B$18</f>
        <v>KRM Essen</v>
      </c>
      <c r="B9">
        <v>8</v>
      </c>
      <c r="C9" t="str">
        <f t="shared" si="0"/>
        <v>nein</v>
      </c>
      <c r="D9">
        <f>Spielerdaten!A13</f>
        <v>0</v>
      </c>
      <c r="E9">
        <f>Spielerdaten!B13</f>
        <v>0</v>
      </c>
      <c r="F9">
        <f>Spielerdaten!C13</f>
        <v>0</v>
      </c>
    </row>
    <row r="10" spans="1:6" ht="15">
      <c r="A10" t="str">
        <f>Saisondaten!$B$18</f>
        <v>KRM Essen</v>
      </c>
      <c r="B10">
        <v>9</v>
      </c>
      <c r="C10" t="str">
        <f t="shared" si="0"/>
        <v>nein</v>
      </c>
      <c r="D10">
        <f>Spielerdaten!A14</f>
        <v>0</v>
      </c>
      <c r="E10">
        <f>Spielerdaten!B14</f>
        <v>0</v>
      </c>
      <c r="F10">
        <f>Spielerdaten!C14</f>
        <v>0</v>
      </c>
    </row>
    <row r="11" spans="1:6" ht="15">
      <c r="A11" t="str">
        <f>Saisondaten!$B$18</f>
        <v>KRM Essen</v>
      </c>
      <c r="B11">
        <v>10</v>
      </c>
      <c r="C11" t="str">
        <f t="shared" si="0"/>
        <v>nein</v>
      </c>
      <c r="D11">
        <f>Spielerdaten!A15</f>
        <v>0</v>
      </c>
      <c r="E11">
        <f>Spielerdaten!B15</f>
        <v>0</v>
      </c>
      <c r="F11">
        <f>Spielerdaten!C15</f>
        <v>0</v>
      </c>
    </row>
    <row r="12" spans="1:6" ht="15">
      <c r="A12" t="str">
        <f>Saisondaten!$B$19</f>
        <v>WSF Liblar</v>
      </c>
      <c r="B12">
        <v>11</v>
      </c>
      <c r="C12" t="str">
        <f t="shared" si="0"/>
        <v>nein</v>
      </c>
      <c r="D12">
        <f>Spielerdaten!E6</f>
        <v>0</v>
      </c>
      <c r="E12">
        <f>Spielerdaten!F6</f>
        <v>0</v>
      </c>
      <c r="F12">
        <f>Spielerdaten!G6</f>
        <v>0</v>
      </c>
    </row>
    <row r="13" spans="1:6" ht="15">
      <c r="A13" t="str">
        <f>Saisondaten!$B$19</f>
        <v>WSF Liblar</v>
      </c>
      <c r="B13">
        <v>12</v>
      </c>
      <c r="C13" t="str">
        <f t="shared" si="0"/>
        <v>nein</v>
      </c>
      <c r="D13">
        <f>Spielerdaten!E7</f>
        <v>0</v>
      </c>
      <c r="E13">
        <f>Spielerdaten!F7</f>
        <v>0</v>
      </c>
      <c r="F13">
        <f>Spielerdaten!G7</f>
        <v>0</v>
      </c>
    </row>
    <row r="14" spans="1:6" ht="15">
      <c r="A14" t="str">
        <f>Saisondaten!$B$19</f>
        <v>WSF Liblar</v>
      </c>
      <c r="B14">
        <v>13</v>
      </c>
      <c r="C14" t="str">
        <f t="shared" si="0"/>
        <v>nein</v>
      </c>
      <c r="D14">
        <f>Spielerdaten!E8</f>
        <v>0</v>
      </c>
      <c r="E14">
        <f>Spielerdaten!F8</f>
        <v>0</v>
      </c>
      <c r="F14">
        <f>Spielerdaten!G8</f>
        <v>0</v>
      </c>
    </row>
    <row r="15" spans="1:6" ht="15">
      <c r="A15" t="str">
        <f>Saisondaten!$B$19</f>
        <v>WSF Liblar</v>
      </c>
      <c r="B15">
        <v>14</v>
      </c>
      <c r="C15" t="str">
        <f t="shared" si="0"/>
        <v>nein</v>
      </c>
      <c r="D15">
        <f>Spielerdaten!E9</f>
        <v>0</v>
      </c>
      <c r="E15">
        <f>Spielerdaten!F9</f>
        <v>0</v>
      </c>
      <c r="F15">
        <f>Spielerdaten!G9</f>
        <v>0</v>
      </c>
    </row>
    <row r="16" spans="1:6" ht="15">
      <c r="A16" t="str">
        <f>Saisondaten!$B$19</f>
        <v>WSF Liblar</v>
      </c>
      <c r="B16">
        <v>15</v>
      </c>
      <c r="C16" t="str">
        <f t="shared" si="0"/>
        <v>nein</v>
      </c>
      <c r="D16">
        <f>Spielerdaten!E10</f>
        <v>0</v>
      </c>
      <c r="E16">
        <f>Spielerdaten!F10</f>
        <v>0</v>
      </c>
      <c r="F16">
        <f>Spielerdaten!G10</f>
        <v>0</v>
      </c>
    </row>
    <row r="17" spans="1:6" ht="15">
      <c r="A17" t="str">
        <f>Saisondaten!$B$19</f>
        <v>WSF Liblar</v>
      </c>
      <c r="B17">
        <v>16</v>
      </c>
      <c r="C17" t="str">
        <f t="shared" si="0"/>
        <v>nein</v>
      </c>
      <c r="D17">
        <f>Spielerdaten!E11</f>
        <v>0</v>
      </c>
      <c r="E17">
        <f>Spielerdaten!F11</f>
        <v>0</v>
      </c>
      <c r="F17">
        <f>Spielerdaten!G11</f>
        <v>0</v>
      </c>
    </row>
    <row r="18" spans="1:6" ht="15">
      <c r="A18" t="str">
        <f>Saisondaten!$B$19</f>
        <v>WSF Liblar</v>
      </c>
      <c r="B18">
        <v>17</v>
      </c>
      <c r="C18" t="str">
        <f t="shared" si="0"/>
        <v>nein</v>
      </c>
      <c r="D18">
        <f>Spielerdaten!E12</f>
        <v>0</v>
      </c>
      <c r="E18">
        <f>Spielerdaten!F12</f>
        <v>0</v>
      </c>
      <c r="F18">
        <f>Spielerdaten!G12</f>
        <v>0</v>
      </c>
    </row>
    <row r="19" spans="1:6" ht="15">
      <c r="A19" t="str">
        <f>Saisondaten!$B$19</f>
        <v>WSF Liblar</v>
      </c>
      <c r="B19">
        <v>18</v>
      </c>
      <c r="C19" t="str">
        <f t="shared" si="0"/>
        <v>nein</v>
      </c>
      <c r="D19">
        <f>Spielerdaten!E13</f>
        <v>0</v>
      </c>
      <c r="E19">
        <f>Spielerdaten!F13</f>
        <v>0</v>
      </c>
      <c r="F19">
        <f>Spielerdaten!G13</f>
        <v>0</v>
      </c>
    </row>
    <row r="20" spans="1:6" ht="15">
      <c r="A20" t="str">
        <f>Saisondaten!$B$19</f>
        <v>WSF Liblar</v>
      </c>
      <c r="B20">
        <v>19</v>
      </c>
      <c r="C20" t="str">
        <f t="shared" si="0"/>
        <v>nein</v>
      </c>
      <c r="D20">
        <f>Spielerdaten!E14</f>
        <v>0</v>
      </c>
      <c r="E20">
        <f>Spielerdaten!F14</f>
        <v>0</v>
      </c>
      <c r="F20">
        <f>Spielerdaten!G14</f>
        <v>0</v>
      </c>
    </row>
    <row r="21" spans="1:6" ht="15">
      <c r="A21" t="str">
        <f>Saisondaten!$B$19</f>
        <v>WSF Liblar</v>
      </c>
      <c r="B21">
        <v>20</v>
      </c>
      <c r="C21" t="str">
        <f t="shared" si="0"/>
        <v>nein</v>
      </c>
      <c r="D21">
        <f>Spielerdaten!E15</f>
        <v>0</v>
      </c>
      <c r="E21">
        <f>Spielerdaten!F15</f>
        <v>0</v>
      </c>
      <c r="F21">
        <f>Spielerdaten!G15</f>
        <v>0</v>
      </c>
    </row>
    <row r="22" spans="1:6" ht="15">
      <c r="A22" t="str">
        <f>Saisondaten!$B$20</f>
        <v>1. MKC Duisburg</v>
      </c>
      <c r="B22">
        <v>21</v>
      </c>
      <c r="C22" t="str">
        <f t="shared" si="0"/>
        <v>nein</v>
      </c>
      <c r="D22">
        <f>Spielerdaten!I6</f>
        <v>0</v>
      </c>
      <c r="E22">
        <f>Spielerdaten!J6</f>
        <v>0</v>
      </c>
      <c r="F22">
        <f>Spielerdaten!K6</f>
        <v>0</v>
      </c>
    </row>
    <row r="23" spans="1:6" ht="15">
      <c r="A23" t="str">
        <f>Saisondaten!$B$20</f>
        <v>1. MKC Duisburg</v>
      </c>
      <c r="B23">
        <v>22</v>
      </c>
      <c r="C23" t="str">
        <f t="shared" si="0"/>
        <v>nein</v>
      </c>
      <c r="D23">
        <f>Spielerdaten!I7</f>
        <v>0</v>
      </c>
      <c r="E23">
        <f>Spielerdaten!J7</f>
        <v>0</v>
      </c>
      <c r="F23">
        <f>Spielerdaten!K7</f>
        <v>0</v>
      </c>
    </row>
    <row r="24" spans="1:6" ht="15">
      <c r="A24" t="str">
        <f>Saisondaten!$B$20</f>
        <v>1. MKC Duisburg</v>
      </c>
      <c r="B24">
        <v>23</v>
      </c>
      <c r="C24" t="str">
        <f t="shared" si="0"/>
        <v>nein</v>
      </c>
      <c r="D24">
        <f>Spielerdaten!I8</f>
        <v>0</v>
      </c>
      <c r="E24">
        <f>Spielerdaten!J8</f>
        <v>0</v>
      </c>
      <c r="F24">
        <f>Spielerdaten!K8</f>
        <v>0</v>
      </c>
    </row>
    <row r="25" spans="1:6" ht="15">
      <c r="A25" t="str">
        <f>Saisondaten!$B$20</f>
        <v>1. MKC Duisburg</v>
      </c>
      <c r="B25">
        <v>24</v>
      </c>
      <c r="C25" t="str">
        <f t="shared" si="0"/>
        <v>nein</v>
      </c>
      <c r="D25">
        <f>Spielerdaten!I9</f>
        <v>0</v>
      </c>
      <c r="E25">
        <f>Spielerdaten!J9</f>
        <v>0</v>
      </c>
      <c r="F25">
        <f>Spielerdaten!K9</f>
        <v>0</v>
      </c>
    </row>
    <row r="26" spans="1:6" ht="15">
      <c r="A26" t="str">
        <f>Saisondaten!$B$20</f>
        <v>1. MKC Duisburg</v>
      </c>
      <c r="B26">
        <v>25</v>
      </c>
      <c r="C26" t="str">
        <f t="shared" si="0"/>
        <v>nein</v>
      </c>
      <c r="D26">
        <f>Spielerdaten!I10</f>
        <v>0</v>
      </c>
      <c r="E26">
        <f>Spielerdaten!J10</f>
        <v>0</v>
      </c>
      <c r="F26">
        <f>Spielerdaten!K10</f>
        <v>0</v>
      </c>
    </row>
    <row r="27" spans="1:6" ht="15">
      <c r="A27" t="str">
        <f>Saisondaten!$B$20</f>
        <v>1. MKC Duisburg</v>
      </c>
      <c r="B27">
        <v>26</v>
      </c>
      <c r="C27" t="str">
        <f t="shared" si="0"/>
        <v>nein</v>
      </c>
      <c r="D27">
        <f>Spielerdaten!I11</f>
        <v>0</v>
      </c>
      <c r="E27">
        <f>Spielerdaten!J11</f>
        <v>0</v>
      </c>
      <c r="F27">
        <f>Spielerdaten!K11</f>
        <v>0</v>
      </c>
    </row>
    <row r="28" spans="1:6" ht="15">
      <c r="A28" t="str">
        <f>Saisondaten!$B$20</f>
        <v>1. MKC Duisburg</v>
      </c>
      <c r="B28">
        <v>27</v>
      </c>
      <c r="C28" t="str">
        <f t="shared" si="0"/>
        <v>nein</v>
      </c>
      <c r="D28">
        <f>Spielerdaten!I12</f>
        <v>0</v>
      </c>
      <c r="E28">
        <f>Spielerdaten!J12</f>
        <v>0</v>
      </c>
      <c r="F28">
        <f>Spielerdaten!K12</f>
        <v>0</v>
      </c>
    </row>
    <row r="29" spans="1:6" ht="15">
      <c r="A29" t="str">
        <f>Saisondaten!$B$20</f>
        <v>1. MKC Duisburg</v>
      </c>
      <c r="B29">
        <v>28</v>
      </c>
      <c r="C29" t="str">
        <f t="shared" si="0"/>
        <v>nein</v>
      </c>
      <c r="D29">
        <f>Spielerdaten!I13</f>
        <v>0</v>
      </c>
      <c r="E29">
        <f>Spielerdaten!J13</f>
        <v>0</v>
      </c>
      <c r="F29">
        <f>Spielerdaten!K13</f>
        <v>0</v>
      </c>
    </row>
    <row r="30" spans="1:6" ht="15">
      <c r="A30" t="str">
        <f>Saisondaten!$B$20</f>
        <v>1. MKC Duisburg</v>
      </c>
      <c r="B30">
        <v>29</v>
      </c>
      <c r="C30" t="str">
        <f t="shared" si="0"/>
        <v>nein</v>
      </c>
      <c r="D30">
        <f>Spielerdaten!I14</f>
        <v>0</v>
      </c>
      <c r="E30">
        <f>Spielerdaten!J14</f>
        <v>0</v>
      </c>
      <c r="F30">
        <f>Spielerdaten!K14</f>
        <v>0</v>
      </c>
    </row>
    <row r="31" spans="1:6" ht="15">
      <c r="A31" t="str">
        <f>Saisondaten!$B$20</f>
        <v>1. MKC Duisburg</v>
      </c>
      <c r="B31">
        <v>30</v>
      </c>
      <c r="C31" t="str">
        <f t="shared" si="0"/>
        <v>nein</v>
      </c>
      <c r="D31">
        <f>Spielerdaten!I15</f>
        <v>0</v>
      </c>
      <c r="E31">
        <f>Spielerdaten!J15</f>
        <v>0</v>
      </c>
      <c r="F31">
        <f>Spielerdaten!K15</f>
        <v>0</v>
      </c>
    </row>
    <row r="32" spans="1:6" ht="15">
      <c r="A32" t="str">
        <f>Saisondaten!$B$21</f>
        <v>KC Wetter</v>
      </c>
      <c r="B32">
        <v>31</v>
      </c>
      <c r="C32" t="str">
        <f t="shared" si="0"/>
        <v>nein</v>
      </c>
      <c r="D32">
        <f>Spielerdaten!M6</f>
        <v>0</v>
      </c>
      <c r="E32">
        <f>Spielerdaten!N6</f>
        <v>0</v>
      </c>
      <c r="F32">
        <f>Spielerdaten!O6</f>
        <v>0</v>
      </c>
    </row>
    <row r="33" spans="1:6" ht="15">
      <c r="A33" t="str">
        <f>Saisondaten!$B$21</f>
        <v>KC Wetter</v>
      </c>
      <c r="B33">
        <v>32</v>
      </c>
      <c r="C33" t="str">
        <f t="shared" si="0"/>
        <v>nein</v>
      </c>
      <c r="D33">
        <f>Spielerdaten!M7</f>
        <v>0</v>
      </c>
      <c r="E33">
        <f>Spielerdaten!N7</f>
        <v>0</v>
      </c>
      <c r="F33">
        <f>Spielerdaten!O7</f>
        <v>0</v>
      </c>
    </row>
    <row r="34" spans="1:6" ht="15">
      <c r="A34" t="str">
        <f>Saisondaten!$B$21</f>
        <v>KC Wetter</v>
      </c>
      <c r="B34">
        <v>33</v>
      </c>
      <c r="C34" t="str">
        <f t="shared" si="0"/>
        <v>nein</v>
      </c>
      <c r="D34">
        <f>Spielerdaten!M8</f>
        <v>0</v>
      </c>
      <c r="E34">
        <f>Spielerdaten!N8</f>
        <v>0</v>
      </c>
      <c r="F34">
        <f>Spielerdaten!O8</f>
        <v>0</v>
      </c>
    </row>
    <row r="35" spans="1:6" ht="15">
      <c r="A35" t="str">
        <f>Saisondaten!$B$21</f>
        <v>KC Wetter</v>
      </c>
      <c r="B35">
        <v>34</v>
      </c>
      <c r="C35" t="str">
        <f t="shared" si="0"/>
        <v>nein</v>
      </c>
      <c r="D35">
        <f>Spielerdaten!M9</f>
        <v>0</v>
      </c>
      <c r="E35">
        <f>Spielerdaten!N9</f>
        <v>0</v>
      </c>
      <c r="F35">
        <f>Spielerdaten!O9</f>
        <v>0</v>
      </c>
    </row>
    <row r="36" spans="1:6" ht="15">
      <c r="A36" t="str">
        <f>Saisondaten!$B$21</f>
        <v>KC Wetter</v>
      </c>
      <c r="B36">
        <v>35</v>
      </c>
      <c r="C36" t="str">
        <f t="shared" si="0"/>
        <v>nein</v>
      </c>
      <c r="D36">
        <f>Spielerdaten!M10</f>
        <v>0</v>
      </c>
      <c r="E36">
        <f>Spielerdaten!N10</f>
        <v>0</v>
      </c>
      <c r="F36">
        <f>Spielerdaten!O10</f>
        <v>0</v>
      </c>
    </row>
    <row r="37" spans="1:6" ht="15">
      <c r="A37" t="str">
        <f>Saisondaten!$B$21</f>
        <v>KC Wetter</v>
      </c>
      <c r="B37">
        <v>36</v>
      </c>
      <c r="C37" t="str">
        <f t="shared" si="0"/>
        <v>nein</v>
      </c>
      <c r="D37">
        <f>Spielerdaten!M11</f>
        <v>0</v>
      </c>
      <c r="E37">
        <f>Spielerdaten!N11</f>
        <v>0</v>
      </c>
      <c r="F37">
        <f>Spielerdaten!O11</f>
        <v>0</v>
      </c>
    </row>
    <row r="38" spans="1:6" ht="15">
      <c r="A38" t="str">
        <f>Saisondaten!$B$21</f>
        <v>KC Wetter</v>
      </c>
      <c r="B38">
        <v>37</v>
      </c>
      <c r="C38" t="str">
        <f t="shared" si="0"/>
        <v>nein</v>
      </c>
      <c r="D38">
        <f>Spielerdaten!M12</f>
        <v>0</v>
      </c>
      <c r="E38">
        <f>Spielerdaten!N12</f>
        <v>0</v>
      </c>
      <c r="F38">
        <f>Spielerdaten!O12</f>
        <v>0</v>
      </c>
    </row>
    <row r="39" spans="1:6" ht="15">
      <c r="A39" t="str">
        <f>Saisondaten!$B$21</f>
        <v>KC Wetter</v>
      </c>
      <c r="B39">
        <v>38</v>
      </c>
      <c r="C39" t="str">
        <f t="shared" si="0"/>
        <v>nein</v>
      </c>
      <c r="D39">
        <f>Spielerdaten!M13</f>
        <v>0</v>
      </c>
      <c r="E39">
        <f>Spielerdaten!N13</f>
        <v>0</v>
      </c>
      <c r="F39">
        <f>Spielerdaten!O13</f>
        <v>0</v>
      </c>
    </row>
    <row r="40" spans="1:6" ht="15">
      <c r="A40" t="str">
        <f>Saisondaten!$B$21</f>
        <v>KC Wetter</v>
      </c>
      <c r="B40">
        <v>39</v>
      </c>
      <c r="C40" t="str">
        <f t="shared" si="0"/>
        <v>nein</v>
      </c>
      <c r="D40">
        <f>Spielerdaten!M14</f>
        <v>0</v>
      </c>
      <c r="E40">
        <f>Spielerdaten!N14</f>
        <v>0</v>
      </c>
      <c r="F40">
        <f>Spielerdaten!O14</f>
        <v>0</v>
      </c>
    </row>
    <row r="41" spans="1:6" ht="15">
      <c r="A41" t="str">
        <f>Saisondaten!$B$21</f>
        <v>KC Wetter</v>
      </c>
      <c r="B41">
        <v>40</v>
      </c>
      <c r="C41" t="str">
        <f t="shared" si="0"/>
        <v>nein</v>
      </c>
      <c r="D41">
        <f>Spielerdaten!M15</f>
        <v>0</v>
      </c>
      <c r="E41">
        <f>Spielerdaten!N15</f>
        <v>0</v>
      </c>
      <c r="F41">
        <f>Spielerdaten!O15</f>
        <v>0</v>
      </c>
    </row>
    <row r="42" spans="1:6" ht="15">
      <c r="A42" t="str">
        <f>Saisondaten!$B$22</f>
        <v>KGW Essen</v>
      </c>
      <c r="B42">
        <v>41</v>
      </c>
      <c r="C42" t="str">
        <f t="shared" si="0"/>
        <v>nein</v>
      </c>
      <c r="D42">
        <f>Spielerdaten!Q6</f>
        <v>0</v>
      </c>
      <c r="E42">
        <f>Spielerdaten!R6</f>
        <v>0</v>
      </c>
      <c r="F42">
        <f>Spielerdaten!S6</f>
        <v>0</v>
      </c>
    </row>
    <row r="43" spans="1:6" ht="15">
      <c r="A43" t="str">
        <f>Saisondaten!$B$22</f>
        <v>KGW Essen</v>
      </c>
      <c r="B43">
        <v>42</v>
      </c>
      <c r="C43" t="str">
        <f t="shared" si="0"/>
        <v>nein</v>
      </c>
      <c r="D43">
        <f>Spielerdaten!Q7</f>
        <v>0</v>
      </c>
      <c r="E43">
        <f>Spielerdaten!R7</f>
        <v>0</v>
      </c>
      <c r="F43">
        <f>Spielerdaten!S7</f>
        <v>0</v>
      </c>
    </row>
    <row r="44" spans="1:6" ht="15">
      <c r="A44" t="str">
        <f>Saisondaten!$B$22</f>
        <v>KGW Essen</v>
      </c>
      <c r="B44">
        <v>43</v>
      </c>
      <c r="C44" t="str">
        <f t="shared" si="0"/>
        <v>nein</v>
      </c>
      <c r="D44">
        <f>Spielerdaten!Q8</f>
        <v>0</v>
      </c>
      <c r="E44">
        <f>Spielerdaten!R8</f>
        <v>0</v>
      </c>
      <c r="F44">
        <f>Spielerdaten!S8</f>
        <v>0</v>
      </c>
    </row>
    <row r="45" spans="1:6" ht="15">
      <c r="A45" t="str">
        <f>Saisondaten!$B$22</f>
        <v>KGW Essen</v>
      </c>
      <c r="B45">
        <v>44</v>
      </c>
      <c r="C45" t="str">
        <f t="shared" si="0"/>
        <v>nein</v>
      </c>
      <c r="D45">
        <f>Spielerdaten!Q9</f>
        <v>0</v>
      </c>
      <c r="E45">
        <f>Spielerdaten!R9</f>
        <v>0</v>
      </c>
      <c r="F45">
        <f>Spielerdaten!S9</f>
        <v>0</v>
      </c>
    </row>
    <row r="46" spans="1:6" ht="15">
      <c r="A46" t="str">
        <f>Saisondaten!$B$22</f>
        <v>KGW Essen</v>
      </c>
      <c r="B46">
        <v>45</v>
      </c>
      <c r="C46" t="str">
        <f t="shared" si="0"/>
        <v>nein</v>
      </c>
      <c r="D46">
        <f>Spielerdaten!Q10</f>
        <v>0</v>
      </c>
      <c r="E46">
        <f>Spielerdaten!R10</f>
        <v>0</v>
      </c>
      <c r="F46">
        <f>Spielerdaten!S10</f>
        <v>0</v>
      </c>
    </row>
    <row r="47" spans="1:6" ht="15">
      <c r="A47" t="str">
        <f>Saisondaten!$B$22</f>
        <v>KGW Essen</v>
      </c>
      <c r="B47">
        <v>46</v>
      </c>
      <c r="C47" t="str">
        <f t="shared" si="0"/>
        <v>nein</v>
      </c>
      <c r="D47">
        <f>Spielerdaten!Q11</f>
        <v>0</v>
      </c>
      <c r="E47">
        <f>Spielerdaten!R11</f>
        <v>0</v>
      </c>
      <c r="F47">
        <f>Spielerdaten!S11</f>
        <v>0</v>
      </c>
    </row>
    <row r="48" spans="1:6" ht="15">
      <c r="A48" t="str">
        <f>Saisondaten!$B$22</f>
        <v>KGW Essen</v>
      </c>
      <c r="B48">
        <v>47</v>
      </c>
      <c r="C48" t="str">
        <f t="shared" si="0"/>
        <v>nein</v>
      </c>
      <c r="D48">
        <f>Spielerdaten!Q12</f>
        <v>0</v>
      </c>
      <c r="E48">
        <f>Spielerdaten!R12</f>
        <v>0</v>
      </c>
      <c r="F48">
        <f>Spielerdaten!S12</f>
        <v>0</v>
      </c>
    </row>
    <row r="49" spans="1:6" ht="15">
      <c r="A49" t="str">
        <f>Saisondaten!$B$22</f>
        <v>KGW Essen</v>
      </c>
      <c r="B49">
        <v>48</v>
      </c>
      <c r="C49" t="str">
        <f t="shared" si="0"/>
        <v>nein</v>
      </c>
      <c r="D49">
        <f>Spielerdaten!Q13</f>
        <v>0</v>
      </c>
      <c r="E49">
        <f>Spielerdaten!R13</f>
        <v>0</v>
      </c>
      <c r="F49">
        <f>Spielerdaten!S13</f>
        <v>0</v>
      </c>
    </row>
    <row r="50" spans="1:6" ht="15">
      <c r="A50" t="str">
        <f>Saisondaten!$B$22</f>
        <v>KGW Essen</v>
      </c>
      <c r="B50">
        <v>49</v>
      </c>
      <c r="C50" t="str">
        <f t="shared" si="0"/>
        <v>nein</v>
      </c>
      <c r="D50">
        <f>Spielerdaten!Q14</f>
        <v>0</v>
      </c>
      <c r="E50">
        <f>Spielerdaten!R14</f>
        <v>0</v>
      </c>
      <c r="F50">
        <f>Spielerdaten!S14</f>
        <v>0</v>
      </c>
    </row>
    <row r="51" spans="1:6" ht="15">
      <c r="A51" t="str">
        <f>Saisondaten!$B$22</f>
        <v>KGW Essen</v>
      </c>
      <c r="B51">
        <v>50</v>
      </c>
      <c r="C51" t="str">
        <f t="shared" si="0"/>
        <v>nein</v>
      </c>
      <c r="D51">
        <f>Spielerdaten!Q15</f>
        <v>0</v>
      </c>
      <c r="E51">
        <f>Spielerdaten!R15</f>
        <v>0</v>
      </c>
      <c r="F51">
        <f>Spielerdaten!S15</f>
        <v>0</v>
      </c>
    </row>
    <row r="52" spans="1:6" ht="15">
      <c r="A52" t="str">
        <f>Saisondaten!$B$23</f>
        <v>Göttinger PC</v>
      </c>
      <c r="B52">
        <v>51</v>
      </c>
      <c r="C52" t="str">
        <f t="shared" si="0"/>
        <v>nein</v>
      </c>
      <c r="D52">
        <f>Spielerdaten!U6</f>
        <v>0</v>
      </c>
      <c r="E52">
        <f>Spielerdaten!V6</f>
        <v>0</v>
      </c>
      <c r="F52">
        <f>Spielerdaten!W6</f>
        <v>0</v>
      </c>
    </row>
    <row r="53" spans="1:6" ht="15">
      <c r="A53" t="str">
        <f>Saisondaten!$B$23</f>
        <v>Göttinger PC</v>
      </c>
      <c r="B53">
        <v>52</v>
      </c>
      <c r="C53" t="str">
        <f t="shared" si="0"/>
        <v>nein</v>
      </c>
      <c r="D53">
        <f>Spielerdaten!U7</f>
        <v>0</v>
      </c>
      <c r="E53">
        <f>Spielerdaten!V7</f>
        <v>0</v>
      </c>
      <c r="F53">
        <f>Spielerdaten!W7</f>
        <v>0</v>
      </c>
    </row>
    <row r="54" spans="1:6" ht="15">
      <c r="A54" t="str">
        <f>Saisondaten!$B$23</f>
        <v>Göttinger PC</v>
      </c>
      <c r="B54">
        <v>53</v>
      </c>
      <c r="C54" t="str">
        <f t="shared" si="0"/>
        <v>nein</v>
      </c>
      <c r="D54">
        <f>Spielerdaten!U8</f>
        <v>0</v>
      </c>
      <c r="E54">
        <f>Spielerdaten!V8</f>
        <v>0</v>
      </c>
      <c r="F54">
        <f>Spielerdaten!W8</f>
        <v>0</v>
      </c>
    </row>
    <row r="55" spans="1:6" ht="15">
      <c r="A55" t="str">
        <f>Saisondaten!$B$23</f>
        <v>Göttinger PC</v>
      </c>
      <c r="B55">
        <v>54</v>
      </c>
      <c r="C55" t="str">
        <f t="shared" si="0"/>
        <v>nein</v>
      </c>
      <c r="D55">
        <f>Spielerdaten!U9</f>
        <v>0</v>
      </c>
      <c r="E55">
        <f>Spielerdaten!V9</f>
        <v>0</v>
      </c>
      <c r="F55">
        <f>Spielerdaten!W9</f>
        <v>0</v>
      </c>
    </row>
    <row r="56" spans="1:6" ht="15">
      <c r="A56" t="str">
        <f>Saisondaten!$B$23</f>
        <v>Göttinger PC</v>
      </c>
      <c r="B56">
        <v>55</v>
      </c>
      <c r="C56" t="str">
        <f t="shared" si="0"/>
        <v>nein</v>
      </c>
      <c r="D56">
        <f>Spielerdaten!U10</f>
        <v>0</v>
      </c>
      <c r="E56">
        <f>Spielerdaten!V10</f>
        <v>0</v>
      </c>
      <c r="F56">
        <f>Spielerdaten!W10</f>
        <v>0</v>
      </c>
    </row>
    <row r="57" spans="1:6" ht="15">
      <c r="A57" t="str">
        <f>Saisondaten!$B$23</f>
        <v>Göttinger PC</v>
      </c>
      <c r="B57">
        <v>56</v>
      </c>
      <c r="C57" t="str">
        <f t="shared" si="0"/>
        <v>nein</v>
      </c>
      <c r="D57">
        <f>Spielerdaten!U11</f>
        <v>0</v>
      </c>
      <c r="E57">
        <f>Spielerdaten!V11</f>
        <v>0</v>
      </c>
      <c r="F57">
        <f>Spielerdaten!W11</f>
        <v>0</v>
      </c>
    </row>
    <row r="58" spans="1:6" ht="15">
      <c r="A58" t="str">
        <f>Saisondaten!$B$23</f>
        <v>Göttinger PC</v>
      </c>
      <c r="B58">
        <v>57</v>
      </c>
      <c r="C58" t="str">
        <f t="shared" si="0"/>
        <v>nein</v>
      </c>
      <c r="D58">
        <f>Spielerdaten!U12</f>
        <v>0</v>
      </c>
      <c r="E58">
        <f>Spielerdaten!V12</f>
        <v>0</v>
      </c>
      <c r="F58">
        <f>Spielerdaten!W12</f>
        <v>0</v>
      </c>
    </row>
    <row r="59" spans="1:6" ht="15">
      <c r="A59" t="str">
        <f>Saisondaten!$B$23</f>
        <v>Göttinger PC</v>
      </c>
      <c r="B59">
        <v>58</v>
      </c>
      <c r="C59" t="str">
        <f t="shared" si="0"/>
        <v>nein</v>
      </c>
      <c r="D59">
        <f>Spielerdaten!U13</f>
        <v>0</v>
      </c>
      <c r="E59">
        <f>Spielerdaten!V13</f>
        <v>0</v>
      </c>
      <c r="F59">
        <f>Spielerdaten!W13</f>
        <v>0</v>
      </c>
    </row>
    <row r="60" spans="1:6" ht="15">
      <c r="A60" t="str">
        <f>Saisondaten!$B$23</f>
        <v>Göttinger PC</v>
      </c>
      <c r="B60">
        <v>59</v>
      </c>
      <c r="C60" t="str">
        <f t="shared" si="0"/>
        <v>nein</v>
      </c>
      <c r="D60">
        <f>Spielerdaten!U14</f>
        <v>0</v>
      </c>
      <c r="E60">
        <f>Spielerdaten!V14</f>
        <v>0</v>
      </c>
      <c r="F60">
        <f>Spielerdaten!W14</f>
        <v>0</v>
      </c>
    </row>
    <row r="61" spans="1:6" ht="15">
      <c r="A61" t="str">
        <f>Saisondaten!$B$23</f>
        <v>Göttinger PC</v>
      </c>
      <c r="B61">
        <v>60</v>
      </c>
      <c r="C61" t="str">
        <f t="shared" si="0"/>
        <v>nein</v>
      </c>
      <c r="D61">
        <f>Spielerdaten!U15</f>
        <v>0</v>
      </c>
      <c r="E61">
        <f>Spielerdaten!V15</f>
        <v>0</v>
      </c>
      <c r="F61">
        <f>Spielerdaten!W15</f>
        <v>0</v>
      </c>
    </row>
    <row r="62" spans="1:6" ht="15">
      <c r="A62" t="str">
        <f>Saisondaten!$C$18</f>
        <v>ACC Hamburg</v>
      </c>
      <c r="B62">
        <v>61</v>
      </c>
      <c r="C62" t="str">
        <f t="shared" si="0"/>
        <v>nein</v>
      </c>
      <c r="D62">
        <f>Spielerdaten!A20</f>
        <v>0</v>
      </c>
      <c r="E62">
        <f>Spielerdaten!B20</f>
        <v>0</v>
      </c>
      <c r="F62">
        <f>Spielerdaten!C20</f>
        <v>0</v>
      </c>
    </row>
    <row r="63" spans="1:6" ht="15">
      <c r="A63" t="str">
        <f>Saisondaten!$C$18</f>
        <v>ACC Hamburg</v>
      </c>
      <c r="B63">
        <v>62</v>
      </c>
      <c r="C63" t="str">
        <f t="shared" si="0"/>
        <v>nein</v>
      </c>
      <c r="D63">
        <f>Spielerdaten!A21</f>
        <v>0</v>
      </c>
      <c r="E63">
        <f>Spielerdaten!B21</f>
        <v>0</v>
      </c>
      <c r="F63">
        <f>Spielerdaten!C21</f>
        <v>0</v>
      </c>
    </row>
    <row r="64" spans="1:6" ht="15">
      <c r="A64" t="str">
        <f>Saisondaten!$C$18</f>
        <v>ACC Hamburg</v>
      </c>
      <c r="B64">
        <v>63</v>
      </c>
      <c r="C64" t="str">
        <f t="shared" si="0"/>
        <v>nein</v>
      </c>
      <c r="D64">
        <f>Spielerdaten!A22</f>
        <v>0</v>
      </c>
      <c r="E64">
        <f>Spielerdaten!B22</f>
        <v>0</v>
      </c>
      <c r="F64">
        <f>Spielerdaten!C22</f>
        <v>0</v>
      </c>
    </row>
    <row r="65" spans="1:6" ht="15">
      <c r="A65" t="str">
        <f>Saisondaten!$C$18</f>
        <v>ACC Hamburg</v>
      </c>
      <c r="B65">
        <v>64</v>
      </c>
      <c r="C65" t="str">
        <f t="shared" si="0"/>
        <v>nein</v>
      </c>
      <c r="D65">
        <f>Spielerdaten!A23</f>
        <v>0</v>
      </c>
      <c r="E65">
        <f>Spielerdaten!B23</f>
        <v>0</v>
      </c>
      <c r="F65">
        <f>Spielerdaten!C23</f>
        <v>0</v>
      </c>
    </row>
    <row r="66" spans="1:6" ht="15">
      <c r="A66" t="str">
        <f>Saisondaten!$C$18</f>
        <v>ACC Hamburg</v>
      </c>
      <c r="B66">
        <v>65</v>
      </c>
      <c r="C66" t="str">
        <f t="shared" si="0"/>
        <v>nein</v>
      </c>
      <c r="D66">
        <f>Spielerdaten!A24</f>
        <v>0</v>
      </c>
      <c r="E66">
        <f>Spielerdaten!B24</f>
        <v>0</v>
      </c>
      <c r="F66">
        <f>Spielerdaten!C24</f>
        <v>0</v>
      </c>
    </row>
    <row r="67" spans="1:6" ht="15">
      <c r="A67" t="str">
        <f>Saisondaten!$C$18</f>
        <v>ACC Hamburg</v>
      </c>
      <c r="B67">
        <v>66</v>
      </c>
      <c r="C67" t="str">
        <f aca="true" t="shared" si="1" ref="C67:C121">IF(OR(D67=0,E67=0,F67=0),"nein","ja")</f>
        <v>nein</v>
      </c>
      <c r="D67">
        <f>Spielerdaten!A25</f>
        <v>0</v>
      </c>
      <c r="E67">
        <f>Spielerdaten!B25</f>
        <v>0</v>
      </c>
      <c r="F67">
        <f>Spielerdaten!C25</f>
        <v>0</v>
      </c>
    </row>
    <row r="68" spans="1:6" ht="15">
      <c r="A68" t="str">
        <f>Saisondaten!$C$18</f>
        <v>ACC Hamburg</v>
      </c>
      <c r="B68">
        <v>67</v>
      </c>
      <c r="C68" t="str">
        <f t="shared" si="1"/>
        <v>nein</v>
      </c>
      <c r="D68">
        <f>Spielerdaten!A26</f>
        <v>0</v>
      </c>
      <c r="E68">
        <f>Spielerdaten!B26</f>
        <v>0</v>
      </c>
      <c r="F68">
        <f>Spielerdaten!C26</f>
        <v>0</v>
      </c>
    </row>
    <row r="69" spans="1:6" ht="15">
      <c r="A69" t="str">
        <f>Saisondaten!$C$18</f>
        <v>ACC Hamburg</v>
      </c>
      <c r="B69">
        <v>68</v>
      </c>
      <c r="C69" t="str">
        <f t="shared" si="1"/>
        <v>nein</v>
      </c>
      <c r="D69">
        <f>Spielerdaten!A27</f>
        <v>0</v>
      </c>
      <c r="E69">
        <f>Spielerdaten!B27</f>
        <v>0</v>
      </c>
      <c r="F69">
        <f>Spielerdaten!C27</f>
        <v>0</v>
      </c>
    </row>
    <row r="70" spans="1:6" ht="15">
      <c r="A70" t="str">
        <f>Saisondaten!$C$18</f>
        <v>ACC Hamburg</v>
      </c>
      <c r="B70">
        <v>69</v>
      </c>
      <c r="C70" t="str">
        <f t="shared" si="1"/>
        <v>nein</v>
      </c>
      <c r="D70">
        <f>Spielerdaten!A28</f>
        <v>0</v>
      </c>
      <c r="E70">
        <f>Spielerdaten!B28</f>
        <v>0</v>
      </c>
      <c r="F70">
        <f>Spielerdaten!C28</f>
        <v>0</v>
      </c>
    </row>
    <row r="71" spans="1:6" ht="15">
      <c r="A71" t="str">
        <f>Saisondaten!$C$18</f>
        <v>ACC Hamburg</v>
      </c>
      <c r="B71">
        <v>70</v>
      </c>
      <c r="C71" t="str">
        <f t="shared" si="1"/>
        <v>nein</v>
      </c>
      <c r="D71">
        <f>Spielerdaten!A29</f>
        <v>0</v>
      </c>
      <c r="E71">
        <f>Spielerdaten!B29</f>
        <v>0</v>
      </c>
      <c r="F71">
        <f>Spielerdaten!C29</f>
        <v>0</v>
      </c>
    </row>
    <row r="72" spans="1:6" ht="15">
      <c r="A72" t="str">
        <f>Saisondaten!$C$19</f>
        <v>KCNW Berlin</v>
      </c>
      <c r="B72">
        <v>71</v>
      </c>
      <c r="C72" t="str">
        <f t="shared" si="1"/>
        <v>nein</v>
      </c>
      <c r="D72">
        <f>Spielerdaten!E20</f>
        <v>0</v>
      </c>
      <c r="E72">
        <f>Spielerdaten!F20</f>
        <v>0</v>
      </c>
      <c r="F72">
        <f>Spielerdaten!G20</f>
        <v>0</v>
      </c>
    </row>
    <row r="73" spans="1:6" ht="15">
      <c r="A73" t="str">
        <f>Saisondaten!$C$19</f>
        <v>KCNW Berlin</v>
      </c>
      <c r="B73">
        <v>72</v>
      </c>
      <c r="C73" t="str">
        <f t="shared" si="1"/>
        <v>nein</v>
      </c>
      <c r="D73">
        <f>Spielerdaten!E21</f>
        <v>0</v>
      </c>
      <c r="E73">
        <f>Spielerdaten!F21</f>
        <v>0</v>
      </c>
      <c r="F73">
        <f>Spielerdaten!G21</f>
        <v>0</v>
      </c>
    </row>
    <row r="74" spans="1:6" ht="15">
      <c r="A74" t="str">
        <f>Saisondaten!$C$19</f>
        <v>KCNW Berlin</v>
      </c>
      <c r="B74">
        <v>73</v>
      </c>
      <c r="C74" t="str">
        <f t="shared" si="1"/>
        <v>nein</v>
      </c>
      <c r="D74">
        <f>Spielerdaten!E22</f>
        <v>0</v>
      </c>
      <c r="E74">
        <f>Spielerdaten!F22</f>
        <v>0</v>
      </c>
      <c r="F74">
        <f>Spielerdaten!G22</f>
        <v>0</v>
      </c>
    </row>
    <row r="75" spans="1:6" ht="15">
      <c r="A75" t="str">
        <f>Saisondaten!$C$19</f>
        <v>KCNW Berlin</v>
      </c>
      <c r="B75">
        <v>74</v>
      </c>
      <c r="C75" t="str">
        <f t="shared" si="1"/>
        <v>nein</v>
      </c>
      <c r="D75">
        <f>Spielerdaten!E23</f>
        <v>0</v>
      </c>
      <c r="E75">
        <f>Spielerdaten!F23</f>
        <v>0</v>
      </c>
      <c r="F75">
        <f>Spielerdaten!G23</f>
        <v>0</v>
      </c>
    </row>
    <row r="76" spans="1:6" ht="15">
      <c r="A76" t="str">
        <f>Saisondaten!$C$19</f>
        <v>KCNW Berlin</v>
      </c>
      <c r="B76">
        <v>75</v>
      </c>
      <c r="C76" t="str">
        <f t="shared" si="1"/>
        <v>nein</v>
      </c>
      <c r="D76">
        <f>Spielerdaten!E24</f>
        <v>0</v>
      </c>
      <c r="E76">
        <f>Spielerdaten!F24</f>
        <v>0</v>
      </c>
      <c r="F76">
        <f>Spielerdaten!G24</f>
        <v>0</v>
      </c>
    </row>
    <row r="77" spans="1:6" ht="15">
      <c r="A77" t="str">
        <f>Saisondaten!$C$19</f>
        <v>KCNW Berlin</v>
      </c>
      <c r="B77">
        <v>76</v>
      </c>
      <c r="C77" t="str">
        <f t="shared" si="1"/>
        <v>nein</v>
      </c>
      <c r="D77">
        <f>Spielerdaten!E25</f>
        <v>0</v>
      </c>
      <c r="E77">
        <f>Spielerdaten!F25</f>
        <v>0</v>
      </c>
      <c r="F77">
        <f>Spielerdaten!G25</f>
        <v>0</v>
      </c>
    </row>
    <row r="78" spans="1:6" ht="15">
      <c r="A78" t="str">
        <f>Saisondaten!$C$19</f>
        <v>KCNW Berlin</v>
      </c>
      <c r="B78">
        <v>77</v>
      </c>
      <c r="C78" t="str">
        <f t="shared" si="1"/>
        <v>nein</v>
      </c>
      <c r="D78">
        <f>Spielerdaten!E26</f>
        <v>0</v>
      </c>
      <c r="E78">
        <f>Spielerdaten!F26</f>
        <v>0</v>
      </c>
      <c r="F78">
        <f>Spielerdaten!G26</f>
        <v>0</v>
      </c>
    </row>
    <row r="79" spans="1:6" ht="15">
      <c r="A79" t="str">
        <f>Saisondaten!$C$19</f>
        <v>KCNW Berlin</v>
      </c>
      <c r="B79">
        <v>78</v>
      </c>
      <c r="C79" t="str">
        <f t="shared" si="1"/>
        <v>nein</v>
      </c>
      <c r="D79">
        <f>Spielerdaten!E27</f>
        <v>0</v>
      </c>
      <c r="E79">
        <f>Spielerdaten!F27</f>
        <v>0</v>
      </c>
      <c r="F79">
        <f>Spielerdaten!G27</f>
        <v>0</v>
      </c>
    </row>
    <row r="80" spans="1:6" ht="15">
      <c r="A80" t="str">
        <f>Saisondaten!$C$19</f>
        <v>KCNW Berlin</v>
      </c>
      <c r="B80">
        <v>79</v>
      </c>
      <c r="C80" t="str">
        <f t="shared" si="1"/>
        <v>nein</v>
      </c>
      <c r="D80">
        <f>Spielerdaten!E28</f>
        <v>0</v>
      </c>
      <c r="E80">
        <f>Spielerdaten!F28</f>
        <v>0</v>
      </c>
      <c r="F80">
        <f>Spielerdaten!G28</f>
        <v>0</v>
      </c>
    </row>
    <row r="81" spans="1:6" ht="15">
      <c r="A81" t="str">
        <f>Saisondaten!$C$19</f>
        <v>KCNW Berlin</v>
      </c>
      <c r="B81">
        <v>80</v>
      </c>
      <c r="C81" t="str">
        <f t="shared" si="1"/>
        <v>nein</v>
      </c>
      <c r="D81">
        <f>Spielerdaten!E29</f>
        <v>0</v>
      </c>
      <c r="E81">
        <f>Spielerdaten!F29</f>
        <v>0</v>
      </c>
      <c r="F81">
        <f>Spielerdaten!G29</f>
        <v>0</v>
      </c>
    </row>
    <row r="82" spans="1:6" ht="15">
      <c r="A82" t="str">
        <f>Saisondaten!$C$20</f>
        <v>RSV Hannover</v>
      </c>
      <c r="B82">
        <v>81</v>
      </c>
      <c r="C82" t="str">
        <f t="shared" si="1"/>
        <v>nein</v>
      </c>
      <c r="D82">
        <f>Spielerdaten!I20</f>
        <v>0</v>
      </c>
      <c r="E82">
        <f>Spielerdaten!J20</f>
        <v>0</v>
      </c>
      <c r="F82">
        <f>Spielerdaten!K20</f>
        <v>0</v>
      </c>
    </row>
    <row r="83" spans="1:6" ht="15">
      <c r="A83" t="str">
        <f>Saisondaten!$C$20</f>
        <v>RSV Hannover</v>
      </c>
      <c r="B83">
        <v>82</v>
      </c>
      <c r="C83" t="str">
        <f t="shared" si="1"/>
        <v>nein</v>
      </c>
      <c r="D83">
        <f>Spielerdaten!I21</f>
        <v>0</v>
      </c>
      <c r="E83">
        <f>Spielerdaten!J21</f>
        <v>0</v>
      </c>
      <c r="F83">
        <f>Spielerdaten!K21</f>
        <v>0</v>
      </c>
    </row>
    <row r="84" spans="1:6" ht="15">
      <c r="A84" t="str">
        <f>Saisondaten!$C$20</f>
        <v>RSV Hannover</v>
      </c>
      <c r="B84">
        <v>83</v>
      </c>
      <c r="C84" t="str">
        <f t="shared" si="1"/>
        <v>nein</v>
      </c>
      <c r="D84">
        <f>Spielerdaten!I22</f>
        <v>0</v>
      </c>
      <c r="E84">
        <f>Spielerdaten!J22</f>
        <v>0</v>
      </c>
      <c r="F84">
        <f>Spielerdaten!K22</f>
        <v>0</v>
      </c>
    </row>
    <row r="85" spans="1:6" ht="15">
      <c r="A85" t="str">
        <f>Saisondaten!$C$20</f>
        <v>RSV Hannover</v>
      </c>
      <c r="B85">
        <v>84</v>
      </c>
      <c r="C85" t="str">
        <f t="shared" si="1"/>
        <v>nein</v>
      </c>
      <c r="D85">
        <f>Spielerdaten!I23</f>
        <v>0</v>
      </c>
      <c r="E85">
        <f>Spielerdaten!J23</f>
        <v>0</v>
      </c>
      <c r="F85">
        <f>Spielerdaten!K23</f>
        <v>0</v>
      </c>
    </row>
    <row r="86" spans="1:6" ht="15">
      <c r="A86" t="str">
        <f>Saisondaten!$C$20</f>
        <v>RSV Hannover</v>
      </c>
      <c r="B86">
        <v>85</v>
      </c>
      <c r="C86" t="str">
        <f t="shared" si="1"/>
        <v>nein</v>
      </c>
      <c r="D86">
        <f>Spielerdaten!I24</f>
        <v>0</v>
      </c>
      <c r="E86">
        <f>Spielerdaten!J24</f>
        <v>0</v>
      </c>
      <c r="F86">
        <f>Spielerdaten!K24</f>
        <v>0</v>
      </c>
    </row>
    <row r="87" spans="1:6" ht="15">
      <c r="A87" t="str">
        <f>Saisondaten!$C$20</f>
        <v>RSV Hannover</v>
      </c>
      <c r="B87">
        <v>86</v>
      </c>
      <c r="C87" t="str">
        <f t="shared" si="1"/>
        <v>nein</v>
      </c>
      <c r="D87">
        <f>Spielerdaten!I25</f>
        <v>0</v>
      </c>
      <c r="E87">
        <f>Spielerdaten!J25</f>
        <v>0</v>
      </c>
      <c r="F87">
        <f>Spielerdaten!K25</f>
        <v>0</v>
      </c>
    </row>
    <row r="88" spans="1:6" ht="15">
      <c r="A88" t="str">
        <f>Saisondaten!$C$20</f>
        <v>RSV Hannover</v>
      </c>
      <c r="B88">
        <v>87</v>
      </c>
      <c r="C88" t="str">
        <f t="shared" si="1"/>
        <v>nein</v>
      </c>
      <c r="D88">
        <f>Spielerdaten!I26</f>
        <v>0</v>
      </c>
      <c r="E88">
        <f>Spielerdaten!J26</f>
        <v>0</v>
      </c>
      <c r="F88">
        <f>Spielerdaten!K26</f>
        <v>0</v>
      </c>
    </row>
    <row r="89" spans="1:6" ht="15">
      <c r="A89" t="str">
        <f>Saisondaten!$C$20</f>
        <v>RSV Hannover</v>
      </c>
      <c r="B89">
        <v>88</v>
      </c>
      <c r="C89" t="str">
        <f t="shared" si="1"/>
        <v>nein</v>
      </c>
      <c r="D89">
        <f>Spielerdaten!I27</f>
        <v>0</v>
      </c>
      <c r="E89">
        <f>Spielerdaten!J27</f>
        <v>0</v>
      </c>
      <c r="F89">
        <f>Spielerdaten!K27</f>
        <v>0</v>
      </c>
    </row>
    <row r="90" spans="1:6" ht="15">
      <c r="A90" t="str">
        <f>Saisondaten!$C$20</f>
        <v>RSV Hannover</v>
      </c>
      <c r="B90">
        <v>89</v>
      </c>
      <c r="C90" t="str">
        <f t="shared" si="1"/>
        <v>nein</v>
      </c>
      <c r="D90">
        <f>Spielerdaten!I28</f>
        <v>0</v>
      </c>
      <c r="E90">
        <f>Spielerdaten!J28</f>
        <v>0</v>
      </c>
      <c r="F90">
        <f>Spielerdaten!K28</f>
        <v>0</v>
      </c>
    </row>
    <row r="91" spans="1:6" ht="15">
      <c r="A91" t="str">
        <f>Saisondaten!$C$20</f>
        <v>RSV Hannover</v>
      </c>
      <c r="B91">
        <v>90</v>
      </c>
      <c r="C91" t="str">
        <f t="shared" si="1"/>
        <v>nein</v>
      </c>
      <c r="D91">
        <f>Spielerdaten!I29</f>
        <v>0</v>
      </c>
      <c r="E91">
        <f>Spielerdaten!J29</f>
        <v>0</v>
      </c>
      <c r="F91">
        <f>Spielerdaten!K29</f>
        <v>0</v>
      </c>
    </row>
    <row r="92" spans="1:6" ht="15">
      <c r="A92" t="str">
        <f>Saisondaten!$C$21</f>
        <v>VK Berlin</v>
      </c>
      <c r="B92">
        <v>91</v>
      </c>
      <c r="C92" t="str">
        <f t="shared" si="1"/>
        <v>nein</v>
      </c>
      <c r="D92">
        <f>Spielerdaten!M20</f>
        <v>0</v>
      </c>
      <c r="E92">
        <f>Spielerdaten!N20</f>
        <v>0</v>
      </c>
      <c r="F92">
        <f>Spielerdaten!O20</f>
        <v>0</v>
      </c>
    </row>
    <row r="93" spans="1:6" ht="15">
      <c r="A93" t="str">
        <f>Saisondaten!$C$21</f>
        <v>VK Berlin</v>
      </c>
      <c r="B93">
        <v>92</v>
      </c>
      <c r="C93" t="str">
        <f t="shared" si="1"/>
        <v>nein</v>
      </c>
      <c r="D93">
        <f>Spielerdaten!M21</f>
        <v>0</v>
      </c>
      <c r="E93">
        <f>Spielerdaten!N21</f>
        <v>0</v>
      </c>
      <c r="F93">
        <f>Spielerdaten!O21</f>
        <v>0</v>
      </c>
    </row>
    <row r="94" spans="1:6" ht="15">
      <c r="A94" t="str">
        <f>Saisondaten!$C$21</f>
        <v>VK Berlin</v>
      </c>
      <c r="B94">
        <v>93</v>
      </c>
      <c r="C94" t="str">
        <f t="shared" si="1"/>
        <v>nein</v>
      </c>
      <c r="D94">
        <f>Spielerdaten!M22</f>
        <v>0</v>
      </c>
      <c r="E94">
        <f>Spielerdaten!N22</f>
        <v>0</v>
      </c>
      <c r="F94">
        <f>Spielerdaten!O22</f>
        <v>0</v>
      </c>
    </row>
    <row r="95" spans="1:6" ht="15">
      <c r="A95" t="str">
        <f>Saisondaten!$C$21</f>
        <v>VK Berlin</v>
      </c>
      <c r="B95">
        <v>94</v>
      </c>
      <c r="C95" t="str">
        <f t="shared" si="1"/>
        <v>nein</v>
      </c>
      <c r="D95">
        <f>Spielerdaten!M23</f>
        <v>0</v>
      </c>
      <c r="E95">
        <f>Spielerdaten!N23</f>
        <v>0</v>
      </c>
      <c r="F95">
        <f>Spielerdaten!O23</f>
        <v>0</v>
      </c>
    </row>
    <row r="96" spans="1:6" ht="15">
      <c r="A96" t="str">
        <f>Saisondaten!$C$21</f>
        <v>VK Berlin</v>
      </c>
      <c r="B96">
        <v>95</v>
      </c>
      <c r="C96" t="str">
        <f t="shared" si="1"/>
        <v>nein</v>
      </c>
      <c r="D96">
        <f>Spielerdaten!M24</f>
        <v>0</v>
      </c>
      <c r="E96">
        <f>Spielerdaten!N24</f>
        <v>0</v>
      </c>
      <c r="F96">
        <f>Spielerdaten!O24</f>
        <v>0</v>
      </c>
    </row>
    <row r="97" spans="1:6" ht="15">
      <c r="A97" t="str">
        <f>Saisondaten!$C$21</f>
        <v>VK Berlin</v>
      </c>
      <c r="B97">
        <v>96</v>
      </c>
      <c r="C97" t="str">
        <f t="shared" si="1"/>
        <v>nein</v>
      </c>
      <c r="D97">
        <f>Spielerdaten!M25</f>
        <v>0</v>
      </c>
      <c r="E97">
        <f>Spielerdaten!N25</f>
        <v>0</v>
      </c>
      <c r="F97">
        <f>Spielerdaten!O25</f>
        <v>0</v>
      </c>
    </row>
    <row r="98" spans="1:6" ht="15">
      <c r="A98" t="str">
        <f>Saisondaten!$C$21</f>
        <v>VK Berlin</v>
      </c>
      <c r="B98">
        <v>97</v>
      </c>
      <c r="C98" t="str">
        <f t="shared" si="1"/>
        <v>nein</v>
      </c>
      <c r="D98">
        <f>Spielerdaten!M26</f>
        <v>0</v>
      </c>
      <c r="E98">
        <f>Spielerdaten!N26</f>
        <v>0</v>
      </c>
      <c r="F98">
        <f>Spielerdaten!O26</f>
        <v>0</v>
      </c>
    </row>
    <row r="99" spans="1:6" ht="15">
      <c r="A99" t="str">
        <f>Saisondaten!$C$21</f>
        <v>VK Berlin</v>
      </c>
      <c r="B99">
        <v>98</v>
      </c>
      <c r="C99" t="str">
        <f t="shared" si="1"/>
        <v>nein</v>
      </c>
      <c r="D99">
        <f>Spielerdaten!M27</f>
        <v>0</v>
      </c>
      <c r="E99">
        <f>Spielerdaten!N27</f>
        <v>0</v>
      </c>
      <c r="F99">
        <f>Spielerdaten!O27</f>
        <v>0</v>
      </c>
    </row>
    <row r="100" spans="1:6" ht="15">
      <c r="A100" t="str">
        <f>Saisondaten!$C$21</f>
        <v>VK Berlin</v>
      </c>
      <c r="B100">
        <v>99</v>
      </c>
      <c r="C100" t="str">
        <f t="shared" si="1"/>
        <v>nein</v>
      </c>
      <c r="D100">
        <f>Spielerdaten!M28</f>
        <v>0</v>
      </c>
      <c r="E100">
        <f>Spielerdaten!N28</f>
        <v>0</v>
      </c>
      <c r="F100">
        <f>Spielerdaten!O28</f>
        <v>0</v>
      </c>
    </row>
    <row r="101" spans="1:6" ht="15">
      <c r="A101" t="str">
        <f>Saisondaten!$C$21</f>
        <v>VK Berlin</v>
      </c>
      <c r="B101">
        <v>100</v>
      </c>
      <c r="C101" t="str">
        <f t="shared" si="1"/>
        <v>nein</v>
      </c>
      <c r="D101">
        <f>Spielerdaten!M29</f>
        <v>0</v>
      </c>
      <c r="E101">
        <f>Spielerdaten!N29</f>
        <v>0</v>
      </c>
      <c r="F101">
        <f>Spielerdaten!O29</f>
        <v>0</v>
      </c>
    </row>
    <row r="102" spans="1:6" ht="15">
      <c r="A102" t="str">
        <f>Saisondaten!$C$22</f>
        <v>KSV Glauchau</v>
      </c>
      <c r="B102">
        <v>101</v>
      </c>
      <c r="C102" t="str">
        <f t="shared" si="1"/>
        <v>nein</v>
      </c>
      <c r="D102">
        <f>Spielerdaten!Q20</f>
        <v>0</v>
      </c>
      <c r="E102">
        <f>Spielerdaten!R20</f>
        <v>0</v>
      </c>
      <c r="F102">
        <f>Spielerdaten!S20</f>
        <v>0</v>
      </c>
    </row>
    <row r="103" spans="1:6" ht="15">
      <c r="A103" t="str">
        <f>Saisondaten!$C$22</f>
        <v>KSV Glauchau</v>
      </c>
      <c r="B103">
        <v>102</v>
      </c>
      <c r="C103" t="str">
        <f t="shared" si="1"/>
        <v>nein</v>
      </c>
      <c r="D103">
        <f>Spielerdaten!Q21</f>
        <v>0</v>
      </c>
      <c r="E103">
        <f>Spielerdaten!R21</f>
        <v>0</v>
      </c>
      <c r="F103">
        <f>Spielerdaten!S21</f>
        <v>0</v>
      </c>
    </row>
    <row r="104" spans="1:6" ht="15">
      <c r="A104" t="str">
        <f>Saisondaten!$C$22</f>
        <v>KSV Glauchau</v>
      </c>
      <c r="B104">
        <v>103</v>
      </c>
      <c r="C104" t="str">
        <f t="shared" si="1"/>
        <v>nein</v>
      </c>
      <c r="D104">
        <f>Spielerdaten!Q22</f>
        <v>0</v>
      </c>
      <c r="E104">
        <f>Spielerdaten!R22</f>
        <v>0</v>
      </c>
      <c r="F104">
        <f>Spielerdaten!S22</f>
        <v>0</v>
      </c>
    </row>
    <row r="105" spans="1:6" ht="15">
      <c r="A105" t="str">
        <f>Saisondaten!$C$22</f>
        <v>KSV Glauchau</v>
      </c>
      <c r="B105">
        <v>104</v>
      </c>
      <c r="C105" t="str">
        <f t="shared" si="1"/>
        <v>nein</v>
      </c>
      <c r="D105">
        <f>Spielerdaten!Q23</f>
        <v>0</v>
      </c>
      <c r="E105">
        <f>Spielerdaten!R23</f>
        <v>0</v>
      </c>
      <c r="F105">
        <f>Spielerdaten!S23</f>
        <v>0</v>
      </c>
    </row>
    <row r="106" spans="1:6" ht="15">
      <c r="A106" t="str">
        <f>Saisondaten!$C$22</f>
        <v>KSV Glauchau</v>
      </c>
      <c r="B106">
        <v>105</v>
      </c>
      <c r="C106" t="str">
        <f t="shared" si="1"/>
        <v>nein</v>
      </c>
      <c r="D106">
        <f>Spielerdaten!Q24</f>
        <v>0</v>
      </c>
      <c r="E106">
        <f>Spielerdaten!R24</f>
        <v>0</v>
      </c>
      <c r="F106">
        <f>Spielerdaten!S24</f>
        <v>0</v>
      </c>
    </row>
    <row r="107" spans="1:6" ht="15">
      <c r="A107" t="str">
        <f>Saisondaten!$C$22</f>
        <v>KSV Glauchau</v>
      </c>
      <c r="B107">
        <v>106</v>
      </c>
      <c r="C107" t="str">
        <f t="shared" si="1"/>
        <v>nein</v>
      </c>
      <c r="D107">
        <f>Spielerdaten!Q25</f>
        <v>0</v>
      </c>
      <c r="E107">
        <f>Spielerdaten!R25</f>
        <v>0</v>
      </c>
      <c r="F107">
        <f>Spielerdaten!S25</f>
        <v>0</v>
      </c>
    </row>
    <row r="108" spans="1:6" ht="15">
      <c r="A108" t="str">
        <f>Saisondaten!$C$22</f>
        <v>KSV Glauchau</v>
      </c>
      <c r="B108">
        <v>107</v>
      </c>
      <c r="C108" t="str">
        <f t="shared" si="1"/>
        <v>nein</v>
      </c>
      <c r="D108">
        <f>Spielerdaten!Q26</f>
        <v>0</v>
      </c>
      <c r="E108">
        <f>Spielerdaten!R26</f>
        <v>0</v>
      </c>
      <c r="F108">
        <f>Spielerdaten!S26</f>
        <v>0</v>
      </c>
    </row>
    <row r="109" spans="1:6" ht="15">
      <c r="A109" t="str">
        <f>Saisondaten!$C$22</f>
        <v>KSV Glauchau</v>
      </c>
      <c r="B109">
        <v>108</v>
      </c>
      <c r="C109" t="str">
        <f t="shared" si="1"/>
        <v>nein</v>
      </c>
      <c r="D109">
        <f>Spielerdaten!Q27</f>
        <v>0</v>
      </c>
      <c r="E109">
        <f>Spielerdaten!R27</f>
        <v>0</v>
      </c>
      <c r="F109">
        <f>Spielerdaten!S27</f>
        <v>0</v>
      </c>
    </row>
    <row r="110" spans="1:6" ht="15">
      <c r="A110" t="str">
        <f>Saisondaten!$C$22</f>
        <v>KSV Glauchau</v>
      </c>
      <c r="B110">
        <v>109</v>
      </c>
      <c r="C110" t="str">
        <f t="shared" si="1"/>
        <v>nein</v>
      </c>
      <c r="D110">
        <f>Spielerdaten!Q28</f>
        <v>0</v>
      </c>
      <c r="E110">
        <f>Spielerdaten!R28</f>
        <v>0</v>
      </c>
      <c r="F110">
        <f>Spielerdaten!S28</f>
        <v>0</v>
      </c>
    </row>
    <row r="111" spans="1:6" ht="15">
      <c r="A111" t="str">
        <f>Saisondaten!$C$22</f>
        <v>KSV Glauchau</v>
      </c>
      <c r="B111">
        <v>110</v>
      </c>
      <c r="C111" t="str">
        <f t="shared" si="1"/>
        <v>nein</v>
      </c>
      <c r="D111">
        <f>Spielerdaten!Q29</f>
        <v>0</v>
      </c>
      <c r="E111">
        <f>Spielerdaten!R29</f>
        <v>0</v>
      </c>
      <c r="F111">
        <f>Spielerdaten!S29</f>
        <v>0</v>
      </c>
    </row>
    <row r="112" spans="1:6" ht="15">
      <c r="A112" t="str">
        <f>Saisondaten!$C$23</f>
        <v>KSVH Berlin</v>
      </c>
      <c r="B112">
        <v>111</v>
      </c>
      <c r="C112" t="str">
        <f t="shared" si="1"/>
        <v>nein</v>
      </c>
      <c r="D112">
        <f>Spielerdaten!U20</f>
        <v>0</v>
      </c>
      <c r="E112">
        <f>Spielerdaten!V20</f>
        <v>0</v>
      </c>
      <c r="F112">
        <f>Spielerdaten!W20</f>
        <v>0</v>
      </c>
    </row>
    <row r="113" spans="1:6" ht="15">
      <c r="A113" t="str">
        <f>Saisondaten!$C$23</f>
        <v>KSVH Berlin</v>
      </c>
      <c r="B113">
        <v>112</v>
      </c>
      <c r="C113" t="str">
        <f t="shared" si="1"/>
        <v>nein</v>
      </c>
      <c r="D113">
        <f>Spielerdaten!U21</f>
        <v>0</v>
      </c>
      <c r="E113">
        <f>Spielerdaten!V21</f>
        <v>0</v>
      </c>
      <c r="F113">
        <f>Spielerdaten!W21</f>
        <v>0</v>
      </c>
    </row>
    <row r="114" spans="1:6" ht="15">
      <c r="A114" t="str">
        <f>Saisondaten!$C$23</f>
        <v>KSVH Berlin</v>
      </c>
      <c r="B114">
        <v>113</v>
      </c>
      <c r="C114" t="str">
        <f t="shared" si="1"/>
        <v>nein</v>
      </c>
      <c r="D114">
        <f>Spielerdaten!U22</f>
        <v>0</v>
      </c>
      <c r="E114">
        <f>Spielerdaten!V22</f>
        <v>0</v>
      </c>
      <c r="F114">
        <f>Spielerdaten!W22</f>
        <v>0</v>
      </c>
    </row>
    <row r="115" spans="1:6" ht="15">
      <c r="A115" t="str">
        <f>Saisondaten!$C$23</f>
        <v>KSVH Berlin</v>
      </c>
      <c r="B115">
        <v>114</v>
      </c>
      <c r="C115" t="str">
        <f t="shared" si="1"/>
        <v>nein</v>
      </c>
      <c r="D115">
        <f>Spielerdaten!U23</f>
        <v>0</v>
      </c>
      <c r="E115">
        <f>Spielerdaten!V23</f>
        <v>0</v>
      </c>
      <c r="F115">
        <f>Spielerdaten!W23</f>
        <v>0</v>
      </c>
    </row>
    <row r="116" spans="1:6" ht="15">
      <c r="A116" t="str">
        <f>Saisondaten!$C$23</f>
        <v>KSVH Berlin</v>
      </c>
      <c r="B116">
        <v>115</v>
      </c>
      <c r="C116" t="str">
        <f t="shared" si="1"/>
        <v>nein</v>
      </c>
      <c r="D116">
        <f>Spielerdaten!U24</f>
        <v>0</v>
      </c>
      <c r="E116">
        <f>Spielerdaten!V24</f>
        <v>0</v>
      </c>
      <c r="F116">
        <f>Spielerdaten!W24</f>
        <v>0</v>
      </c>
    </row>
    <row r="117" spans="1:6" ht="15">
      <c r="A117" t="str">
        <f>Saisondaten!$C$23</f>
        <v>KSVH Berlin</v>
      </c>
      <c r="B117">
        <v>116</v>
      </c>
      <c r="C117" t="str">
        <f t="shared" si="1"/>
        <v>nein</v>
      </c>
      <c r="D117">
        <f>Spielerdaten!U25</f>
        <v>0</v>
      </c>
      <c r="E117">
        <f>Spielerdaten!V25</f>
        <v>0</v>
      </c>
      <c r="F117">
        <f>Spielerdaten!W25</f>
        <v>0</v>
      </c>
    </row>
    <row r="118" spans="1:6" ht="15">
      <c r="A118" t="str">
        <f>Saisondaten!$C$23</f>
        <v>KSVH Berlin</v>
      </c>
      <c r="B118">
        <v>117</v>
      </c>
      <c r="C118" t="str">
        <f t="shared" si="1"/>
        <v>nein</v>
      </c>
      <c r="D118">
        <f>Spielerdaten!U26</f>
        <v>0</v>
      </c>
      <c r="E118">
        <f>Spielerdaten!V26</f>
        <v>0</v>
      </c>
      <c r="F118">
        <f>Spielerdaten!W26</f>
        <v>0</v>
      </c>
    </row>
    <row r="119" spans="1:6" ht="15">
      <c r="A119" t="str">
        <f>Saisondaten!$C$23</f>
        <v>KSVH Berlin</v>
      </c>
      <c r="B119">
        <v>118</v>
      </c>
      <c r="C119" t="str">
        <f t="shared" si="1"/>
        <v>nein</v>
      </c>
      <c r="D119">
        <f>Spielerdaten!U27</f>
        <v>0</v>
      </c>
      <c r="E119">
        <f>Spielerdaten!V27</f>
        <v>0</v>
      </c>
      <c r="F119">
        <f>Spielerdaten!W27</f>
        <v>0</v>
      </c>
    </row>
    <row r="120" spans="1:6" ht="15">
      <c r="A120" t="str">
        <f>Saisondaten!$C$23</f>
        <v>KSVH Berlin</v>
      </c>
      <c r="B120">
        <v>119</v>
      </c>
      <c r="C120" t="str">
        <f t="shared" si="1"/>
        <v>nein</v>
      </c>
      <c r="D120">
        <f>Spielerdaten!U28</f>
        <v>0</v>
      </c>
      <c r="E120">
        <f>Spielerdaten!V28</f>
        <v>0</v>
      </c>
      <c r="F120">
        <f>Spielerdaten!W28</f>
        <v>0</v>
      </c>
    </row>
    <row r="121" spans="1:6" ht="15">
      <c r="A121" t="str">
        <f>Saisondaten!$C$23</f>
        <v>KSVH Berlin</v>
      </c>
      <c r="B121">
        <v>120</v>
      </c>
      <c r="C121" t="str">
        <f t="shared" si="1"/>
        <v>nein</v>
      </c>
      <c r="D121">
        <f>Spielerdaten!U29</f>
        <v>0</v>
      </c>
      <c r="E121">
        <f>Spielerdaten!V29</f>
        <v>0</v>
      </c>
      <c r="F121">
        <f>Spielerdaten!W29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30">
      <selection activeCell="J31" sqref="J31"/>
    </sheetView>
  </sheetViews>
  <sheetFormatPr defaultColWidth="11.421875" defaultRowHeight="15"/>
  <cols>
    <col min="1" max="1" width="7.28125" style="0" bestFit="1" customWidth="1"/>
    <col min="2" max="2" width="8.28125" style="0" bestFit="1" customWidth="1"/>
    <col min="3" max="3" width="4.8515625" style="0" bestFit="1" customWidth="1"/>
    <col min="4" max="4" width="5.57421875" style="0" bestFit="1" customWidth="1"/>
    <col min="5" max="5" width="9.57421875" style="0" bestFit="1" customWidth="1"/>
    <col min="6" max="7" width="15.28125" style="0" bestFit="1" customWidth="1"/>
    <col min="8" max="8" width="10.140625" style="0" bestFit="1" customWidth="1"/>
    <col min="9" max="9" width="10.140625" style="0" customWidth="1"/>
    <col min="10" max="10" width="10.140625" style="0" bestFit="1" customWidth="1"/>
  </cols>
  <sheetData>
    <row r="1" spans="1:10" ht="15">
      <c r="A1" t="s">
        <v>116</v>
      </c>
      <c r="B1" t="s">
        <v>117</v>
      </c>
      <c r="C1" t="s">
        <v>39</v>
      </c>
      <c r="D1" t="s">
        <v>40</v>
      </c>
      <c r="E1" t="s">
        <v>8</v>
      </c>
      <c r="F1" t="s">
        <v>66</v>
      </c>
      <c r="G1" t="s">
        <v>67</v>
      </c>
      <c r="H1" t="s">
        <v>118</v>
      </c>
      <c r="I1" t="s">
        <v>5</v>
      </c>
      <c r="J1" t="s">
        <v>0</v>
      </c>
    </row>
    <row r="2" spans="1:10" ht="15">
      <c r="A2">
        <f>'1.Spieltag'!A7</f>
        <v>1</v>
      </c>
      <c r="B2" t="str">
        <f>'1.Spieltag'!B7</f>
        <v>T</v>
      </c>
      <c r="C2">
        <f>'1.Spieltag'!C7</f>
        <v>1</v>
      </c>
      <c r="D2" s="66">
        <f>'1.Spieltag'!D7</f>
        <v>0.4166666666666667</v>
      </c>
      <c r="E2" t="str">
        <f>'1.Spieltag'!E7</f>
        <v>A</v>
      </c>
      <c r="F2" t="str">
        <f>'1.Spieltag'!F7</f>
        <v>KRM Essen</v>
      </c>
      <c r="G2" t="str">
        <f>'1.Spieltag'!H7</f>
        <v>KGW Essen</v>
      </c>
      <c r="H2" t="str">
        <f>Saisondaten!$A$8</f>
        <v>1. Spieltag</v>
      </c>
      <c r="I2" t="str">
        <f>Saisondaten!$D$8</f>
        <v>Liblar</v>
      </c>
      <c r="J2" s="67">
        <f>Saisondaten!$B$8</f>
        <v>43225</v>
      </c>
    </row>
    <row r="3" spans="1:10" ht="15">
      <c r="A3">
        <f>'1.Spieltag'!A8</f>
        <v>2</v>
      </c>
      <c r="B3" t="str">
        <f>'1.Spieltag'!B8</f>
        <v>T</v>
      </c>
      <c r="C3">
        <f>'1.Spieltag'!C8</f>
        <v>1</v>
      </c>
      <c r="D3" s="66">
        <f>'1.Spieltag'!D8</f>
        <v>0.4479166666666667</v>
      </c>
      <c r="E3" t="str">
        <f>'1.Spieltag'!E8</f>
        <v>A</v>
      </c>
      <c r="F3" t="str">
        <f>'1.Spieltag'!F8</f>
        <v>1. MKC Duisburg</v>
      </c>
      <c r="G3" t="str">
        <f>'1.Spieltag'!H8</f>
        <v>Göttinger PC</v>
      </c>
      <c r="H3" t="str">
        <f>Saisondaten!$A$8</f>
        <v>1. Spieltag</v>
      </c>
      <c r="I3" t="str">
        <f>Saisondaten!$D$8</f>
        <v>Liblar</v>
      </c>
      <c r="J3" s="67">
        <f>Saisondaten!$B$8</f>
        <v>43225</v>
      </c>
    </row>
    <row r="4" spans="1:10" ht="15">
      <c r="A4">
        <f>'1.Spieltag'!A9</f>
        <v>3</v>
      </c>
      <c r="B4" t="str">
        <f>'1.Spieltag'!B9</f>
        <v>T</v>
      </c>
      <c r="C4">
        <f>'1.Spieltag'!C9</f>
        <v>1</v>
      </c>
      <c r="D4" s="66">
        <f>'1.Spieltag'!D9</f>
        <v>0.4791666666666667</v>
      </c>
      <c r="E4" t="str">
        <f>'1.Spieltag'!E9</f>
        <v>A</v>
      </c>
      <c r="F4" t="str">
        <f>'1.Spieltag'!F9</f>
        <v>WSF Liblar</v>
      </c>
      <c r="G4" t="str">
        <f>'1.Spieltag'!H9</f>
        <v>KC Wetter</v>
      </c>
      <c r="H4" t="str">
        <f>Saisondaten!$A$8</f>
        <v>1. Spieltag</v>
      </c>
      <c r="I4" t="str">
        <f>Saisondaten!$D$8</f>
        <v>Liblar</v>
      </c>
      <c r="J4" s="67">
        <f>Saisondaten!$B$8</f>
        <v>43225</v>
      </c>
    </row>
    <row r="5" spans="1:10" ht="15">
      <c r="A5">
        <f>'1.Spieltag'!A10</f>
        <v>4</v>
      </c>
      <c r="B5" t="str">
        <f>'1.Spieltag'!B10</f>
        <v>T</v>
      </c>
      <c r="C5">
        <f>'1.Spieltag'!C10</f>
        <v>1</v>
      </c>
      <c r="D5" s="66">
        <f>'1.Spieltag'!D10</f>
        <v>0.53125</v>
      </c>
      <c r="E5" t="str">
        <f>'1.Spieltag'!E10</f>
        <v>A</v>
      </c>
      <c r="F5" t="str">
        <f>'1.Spieltag'!F10</f>
        <v>1. MKC Duisburg</v>
      </c>
      <c r="G5" t="str">
        <f>'1.Spieltag'!H10</f>
        <v>KGW Essen</v>
      </c>
      <c r="H5" t="str">
        <f>Saisondaten!$A$8</f>
        <v>1. Spieltag</v>
      </c>
      <c r="I5" t="str">
        <f>Saisondaten!$D$8</f>
        <v>Liblar</v>
      </c>
      <c r="J5" s="67">
        <f>Saisondaten!$B$8</f>
        <v>43225</v>
      </c>
    </row>
    <row r="6" spans="1:10" ht="15">
      <c r="A6">
        <f>'1.Spieltag'!A11</f>
        <v>5</v>
      </c>
      <c r="B6" t="str">
        <f>'1.Spieltag'!B11</f>
        <v>T</v>
      </c>
      <c r="C6">
        <f>'1.Spieltag'!C11</f>
        <v>1</v>
      </c>
      <c r="D6" s="66">
        <f>'1.Spieltag'!D11</f>
        <v>0.5729166666666666</v>
      </c>
      <c r="E6" t="str">
        <f>'1.Spieltag'!E11</f>
        <v>A</v>
      </c>
      <c r="F6" t="str">
        <f>'1.Spieltag'!F11</f>
        <v>KRM Essen</v>
      </c>
      <c r="G6" t="str">
        <f>'1.Spieltag'!H11</f>
        <v>KC Wetter</v>
      </c>
      <c r="H6" t="str">
        <f>Saisondaten!$A$8</f>
        <v>1. Spieltag</v>
      </c>
      <c r="I6" t="str">
        <f>Saisondaten!$D$8</f>
        <v>Liblar</v>
      </c>
      <c r="J6" s="67">
        <f>Saisondaten!$B$8</f>
        <v>43225</v>
      </c>
    </row>
    <row r="7" spans="1:10" ht="15">
      <c r="A7">
        <f>'1.Spieltag'!A12</f>
        <v>6</v>
      </c>
      <c r="B7" t="str">
        <f>'1.Spieltag'!B12</f>
        <v>T</v>
      </c>
      <c r="C7">
        <f>'1.Spieltag'!C12</f>
        <v>1</v>
      </c>
      <c r="D7" s="66">
        <f>'1.Spieltag'!D12</f>
        <v>0.6041666666666666</v>
      </c>
      <c r="E7" t="str">
        <f>'1.Spieltag'!E12</f>
        <v>A</v>
      </c>
      <c r="F7" t="str">
        <f>'1.Spieltag'!F12</f>
        <v>WSF Liblar</v>
      </c>
      <c r="G7" t="str">
        <f>'1.Spieltag'!H12</f>
        <v>Göttinger PC</v>
      </c>
      <c r="H7" t="str">
        <f>Saisondaten!$A$8</f>
        <v>1. Spieltag</v>
      </c>
      <c r="I7" t="str">
        <f>Saisondaten!$D$8</f>
        <v>Liblar</v>
      </c>
      <c r="J7" s="67">
        <f>Saisondaten!$B$8</f>
        <v>43225</v>
      </c>
    </row>
    <row r="8" spans="1:10" ht="15">
      <c r="A8">
        <f>'1.Spieltag'!A13</f>
        <v>7</v>
      </c>
      <c r="B8" t="str">
        <f>'1.Spieltag'!B13</f>
        <v>T</v>
      </c>
      <c r="C8">
        <f>'1.Spieltag'!C13</f>
        <v>1</v>
      </c>
      <c r="D8" s="66">
        <f>'1.Spieltag'!D13</f>
        <v>0.6458333333333334</v>
      </c>
      <c r="E8" t="str">
        <f>'1.Spieltag'!E13</f>
        <v>A</v>
      </c>
      <c r="F8" t="str">
        <f>'1.Spieltag'!F13</f>
        <v>KRM Essen</v>
      </c>
      <c r="G8" t="str">
        <f>'1.Spieltag'!H13</f>
        <v>1. MKC Duisburg</v>
      </c>
      <c r="H8" t="str">
        <f>Saisondaten!$A$8</f>
        <v>1. Spieltag</v>
      </c>
      <c r="I8" t="str">
        <f>Saisondaten!$D$8</f>
        <v>Liblar</v>
      </c>
      <c r="J8" s="67">
        <f>Saisondaten!$B$8</f>
        <v>43225</v>
      </c>
    </row>
    <row r="9" spans="1:10" ht="15">
      <c r="A9">
        <f>'1.Spieltag'!A14</f>
        <v>8</v>
      </c>
      <c r="B9" t="str">
        <f>'1.Spieltag'!B14</f>
        <v>T</v>
      </c>
      <c r="C9">
        <f>'1.Spieltag'!C14</f>
        <v>1</v>
      </c>
      <c r="D9" s="66">
        <f>'1.Spieltag'!D14</f>
        <v>0.6770833333333334</v>
      </c>
      <c r="E9" t="str">
        <f>'1.Spieltag'!E14</f>
        <v>A</v>
      </c>
      <c r="F9" t="str">
        <f>'1.Spieltag'!F14</f>
        <v>WSF Liblar</v>
      </c>
      <c r="G9" t="str">
        <f>'1.Spieltag'!H14</f>
        <v>KGW Essen</v>
      </c>
      <c r="H9" t="str">
        <f>Saisondaten!$A$8</f>
        <v>1. Spieltag</v>
      </c>
      <c r="I9" t="str">
        <f>Saisondaten!$D$8</f>
        <v>Liblar</v>
      </c>
      <c r="J9" s="67">
        <f>Saisondaten!$B$8</f>
        <v>43225</v>
      </c>
    </row>
    <row r="10" spans="1:10" ht="15">
      <c r="A10">
        <f>'1.Spieltag'!A15</f>
        <v>9</v>
      </c>
      <c r="B10" t="str">
        <f>'1.Spieltag'!B15</f>
        <v>T</v>
      </c>
      <c r="C10">
        <f>'1.Spieltag'!C15</f>
        <v>1</v>
      </c>
      <c r="D10" s="66">
        <f>'1.Spieltag'!D15</f>
        <v>0.7083333333333334</v>
      </c>
      <c r="E10" t="str">
        <f>'1.Spieltag'!E15</f>
        <v>A</v>
      </c>
      <c r="F10" t="str">
        <f>'1.Spieltag'!F15</f>
        <v>KC Wetter</v>
      </c>
      <c r="G10" t="str">
        <f>'1.Spieltag'!H15</f>
        <v>Göttinger PC</v>
      </c>
      <c r="H10" t="str">
        <f>Saisondaten!$A$8</f>
        <v>1. Spieltag</v>
      </c>
      <c r="I10" t="str">
        <f>Saisondaten!$D$8</f>
        <v>Liblar</v>
      </c>
      <c r="J10" s="67">
        <f>Saisondaten!$B$8</f>
        <v>43225</v>
      </c>
    </row>
    <row r="11" spans="1:10" ht="15">
      <c r="A11">
        <f>'1.Spieltag'!A18</f>
        <v>10</v>
      </c>
      <c r="B11" t="str">
        <f>'1.Spieltag'!B18</f>
        <v>T</v>
      </c>
      <c r="C11">
        <f>'1.Spieltag'!C18</f>
        <v>1</v>
      </c>
      <c r="D11" s="66">
        <f>'1.Spieltag'!D18</f>
        <v>0.4166666666666667</v>
      </c>
      <c r="E11" t="str">
        <f>'1.Spieltag'!E18</f>
        <v>A</v>
      </c>
      <c r="F11" t="str">
        <f>'1.Spieltag'!F18</f>
        <v>KC Wetter</v>
      </c>
      <c r="G11" t="str">
        <f>'1.Spieltag'!H18</f>
        <v>KGW Essen</v>
      </c>
      <c r="H11" t="str">
        <f>Saisondaten!$A$8</f>
        <v>1. Spieltag</v>
      </c>
      <c r="I11" t="str">
        <f>Saisondaten!$D$8</f>
        <v>Liblar</v>
      </c>
      <c r="J11" s="67">
        <f>Saisondaten!$C$8</f>
        <v>43226</v>
      </c>
    </row>
    <row r="12" spans="1:10" ht="15">
      <c r="A12">
        <f>'1.Spieltag'!A19</f>
        <v>11</v>
      </c>
      <c r="B12" t="str">
        <f>'1.Spieltag'!B19</f>
        <v>T</v>
      </c>
      <c r="C12">
        <f>'1.Spieltag'!C19</f>
        <v>1</v>
      </c>
      <c r="D12" s="66">
        <f>'1.Spieltag'!D19</f>
        <v>0.4479166666666667</v>
      </c>
      <c r="E12" t="str">
        <f>'1.Spieltag'!E19</f>
        <v>A</v>
      </c>
      <c r="F12" t="str">
        <f>'1.Spieltag'!F19</f>
        <v>KRM Essen</v>
      </c>
      <c r="G12" t="str">
        <f>'1.Spieltag'!H19</f>
        <v>Göttinger PC</v>
      </c>
      <c r="H12" t="str">
        <f>Saisondaten!$A$8</f>
        <v>1. Spieltag</v>
      </c>
      <c r="I12" t="str">
        <f>Saisondaten!$D$8</f>
        <v>Liblar</v>
      </c>
      <c r="J12" s="67">
        <f>Saisondaten!$C$8</f>
        <v>43226</v>
      </c>
    </row>
    <row r="13" spans="1:10" ht="15">
      <c r="A13">
        <f>'1.Spieltag'!A20</f>
        <v>12</v>
      </c>
      <c r="B13" t="str">
        <f>'1.Spieltag'!B20</f>
        <v>T</v>
      </c>
      <c r="C13">
        <f>'1.Spieltag'!C20</f>
        <v>1</v>
      </c>
      <c r="D13" s="66">
        <f>'1.Spieltag'!D20</f>
        <v>0.4791666666666667</v>
      </c>
      <c r="E13" t="str">
        <f>'1.Spieltag'!E20</f>
        <v>A</v>
      </c>
      <c r="F13" t="str">
        <f>'1.Spieltag'!F20</f>
        <v>WSF Liblar</v>
      </c>
      <c r="G13" t="str">
        <f>'1.Spieltag'!H20</f>
        <v>1. MKC Duisburg</v>
      </c>
      <c r="H13" t="str">
        <f>Saisondaten!$A$8</f>
        <v>1. Spieltag</v>
      </c>
      <c r="I13" t="str">
        <f>Saisondaten!$D$8</f>
        <v>Liblar</v>
      </c>
      <c r="J13" s="67">
        <f>Saisondaten!$C$8</f>
        <v>43226</v>
      </c>
    </row>
    <row r="14" spans="1:10" ht="15">
      <c r="A14">
        <f>'1.Spieltag'!A21</f>
        <v>13</v>
      </c>
      <c r="B14" t="str">
        <f>'1.Spieltag'!B21</f>
        <v>T</v>
      </c>
      <c r="C14">
        <f>'1.Spieltag'!C21</f>
        <v>1</v>
      </c>
      <c r="D14" s="66">
        <f>'1.Spieltag'!D21</f>
        <v>0.5208333333333334</v>
      </c>
      <c r="E14" t="str">
        <f>'1.Spieltag'!E21</f>
        <v>A</v>
      </c>
      <c r="F14" t="str">
        <f>'1.Spieltag'!F21</f>
        <v>KGW Essen</v>
      </c>
      <c r="G14" t="str">
        <f>'1.Spieltag'!H21</f>
        <v>Göttinger PC</v>
      </c>
      <c r="H14" t="str">
        <f>Saisondaten!$A$8</f>
        <v>1. Spieltag</v>
      </c>
      <c r="I14" t="str">
        <f>Saisondaten!$D$8</f>
        <v>Liblar</v>
      </c>
      <c r="J14" s="67">
        <f>Saisondaten!$C$8</f>
        <v>43226</v>
      </c>
    </row>
    <row r="15" spans="1:10" ht="15">
      <c r="A15">
        <f>'1.Spieltag'!A22</f>
        <v>14</v>
      </c>
      <c r="B15" t="str">
        <f>'1.Spieltag'!B22</f>
        <v>T</v>
      </c>
      <c r="C15">
        <f>'1.Spieltag'!C22</f>
        <v>1</v>
      </c>
      <c r="D15" s="66">
        <f>'1.Spieltag'!D22</f>
        <v>0.5520833333333334</v>
      </c>
      <c r="E15" t="str">
        <f>'1.Spieltag'!E22</f>
        <v>A</v>
      </c>
      <c r="F15" t="str">
        <f>'1.Spieltag'!F22</f>
        <v>1. MKC Duisburg</v>
      </c>
      <c r="G15" t="str">
        <f>'1.Spieltag'!H22</f>
        <v>KC Wetter</v>
      </c>
      <c r="H15" t="str">
        <f>Saisondaten!$A$8</f>
        <v>1. Spieltag</v>
      </c>
      <c r="I15" t="str">
        <f>Saisondaten!$D$8</f>
        <v>Liblar</v>
      </c>
      <c r="J15" s="67">
        <f>Saisondaten!$C$8</f>
        <v>43226</v>
      </c>
    </row>
    <row r="16" spans="1:10" ht="15">
      <c r="A16">
        <f>'1.Spieltag'!A23</f>
        <v>15</v>
      </c>
      <c r="B16" t="str">
        <f>'1.Spieltag'!B23</f>
        <v>T</v>
      </c>
      <c r="C16">
        <f>'1.Spieltag'!C23</f>
        <v>1</v>
      </c>
      <c r="D16" s="66">
        <f>'1.Spieltag'!D23</f>
        <v>0.5833333333333334</v>
      </c>
      <c r="E16" t="str">
        <f>'1.Spieltag'!E23</f>
        <v>A</v>
      </c>
      <c r="F16" t="str">
        <f>'1.Spieltag'!F23</f>
        <v>KRM Essen</v>
      </c>
      <c r="G16" t="str">
        <f>'1.Spieltag'!H23</f>
        <v>WSF Liblar</v>
      </c>
      <c r="H16" t="str">
        <f>Saisondaten!$A$8</f>
        <v>1. Spieltag</v>
      </c>
      <c r="I16" t="str">
        <f>Saisondaten!$D$8</f>
        <v>Liblar</v>
      </c>
      <c r="J16" s="67">
        <f>Saisondaten!$C$8</f>
        <v>43226</v>
      </c>
    </row>
    <row r="17" spans="1:10" ht="15">
      <c r="A17">
        <f>'1.Spieltag'!A29</f>
        <v>16</v>
      </c>
      <c r="B17" t="str">
        <f>'1.Spieltag'!B29</f>
        <v>T</v>
      </c>
      <c r="C17">
        <f>'1.Spieltag'!C29</f>
        <v>1</v>
      </c>
      <c r="D17" s="66">
        <f>'1.Spieltag'!D29</f>
        <v>0.4166666666666667</v>
      </c>
      <c r="E17" t="str">
        <f>'1.Spieltag'!E29</f>
        <v>B</v>
      </c>
      <c r="F17" t="str">
        <f>'1.Spieltag'!F29</f>
        <v>ACC Hamburg</v>
      </c>
      <c r="G17" t="str">
        <f>'1.Spieltag'!H29</f>
        <v>KSV Glauchau</v>
      </c>
      <c r="H17" t="str">
        <f>Saisondaten!$A$8</f>
        <v>1. Spieltag</v>
      </c>
      <c r="I17" t="str">
        <f>Saisondaten!$E$8</f>
        <v>Glauchau</v>
      </c>
      <c r="J17" s="67">
        <f>Saisondaten!$B$8</f>
        <v>43225</v>
      </c>
    </row>
    <row r="18" spans="1:10" ht="15">
      <c r="A18">
        <f>'1.Spieltag'!A30</f>
        <v>17</v>
      </c>
      <c r="B18" t="str">
        <f>'1.Spieltag'!B30</f>
        <v>T</v>
      </c>
      <c r="C18">
        <f>'1.Spieltag'!C30</f>
        <v>1</v>
      </c>
      <c r="D18" s="66">
        <f>'1.Spieltag'!D30</f>
        <v>0.4479166666666667</v>
      </c>
      <c r="E18" t="str">
        <f>'1.Spieltag'!E30</f>
        <v>B</v>
      </c>
      <c r="F18" t="str">
        <f>'1.Spieltag'!F30</f>
        <v>RSV Hannover</v>
      </c>
      <c r="G18" t="str">
        <f>'1.Spieltag'!H30</f>
        <v>KSVH Berlin</v>
      </c>
      <c r="H18" t="str">
        <f>Saisondaten!$A$8</f>
        <v>1. Spieltag</v>
      </c>
      <c r="I18" t="str">
        <f>Saisondaten!$E$8</f>
        <v>Glauchau</v>
      </c>
      <c r="J18" s="67">
        <f>Saisondaten!$B$8</f>
        <v>43225</v>
      </c>
    </row>
    <row r="19" spans="1:10" ht="15">
      <c r="A19">
        <f>'1.Spieltag'!A31</f>
        <v>18</v>
      </c>
      <c r="B19" t="str">
        <f>'1.Spieltag'!B31</f>
        <v>T</v>
      </c>
      <c r="C19">
        <f>'1.Spieltag'!C31</f>
        <v>1</v>
      </c>
      <c r="D19" s="66">
        <f>'1.Spieltag'!D31</f>
        <v>0.4791666666666667</v>
      </c>
      <c r="E19" t="str">
        <f>'1.Spieltag'!E31</f>
        <v>B</v>
      </c>
      <c r="F19" t="str">
        <f>'1.Spieltag'!F31</f>
        <v>KCNW Berlin</v>
      </c>
      <c r="G19" t="str">
        <f>'1.Spieltag'!H31</f>
        <v>VK Berlin</v>
      </c>
      <c r="H19" t="str">
        <f>Saisondaten!$A$8</f>
        <v>1. Spieltag</v>
      </c>
      <c r="I19" t="str">
        <f>Saisondaten!$E$8</f>
        <v>Glauchau</v>
      </c>
      <c r="J19" s="67">
        <f>Saisondaten!$B$8</f>
        <v>43225</v>
      </c>
    </row>
    <row r="20" spans="1:10" ht="15">
      <c r="A20">
        <f>'1.Spieltag'!A32</f>
        <v>19</v>
      </c>
      <c r="B20" t="str">
        <f>'1.Spieltag'!B32</f>
        <v>T</v>
      </c>
      <c r="C20">
        <f>'1.Spieltag'!C32</f>
        <v>1</v>
      </c>
      <c r="D20" s="66">
        <f>'1.Spieltag'!D32</f>
        <v>0.53125</v>
      </c>
      <c r="E20" t="str">
        <f>'1.Spieltag'!E32</f>
        <v>B</v>
      </c>
      <c r="F20" t="str">
        <f>'1.Spieltag'!F32</f>
        <v>RSV Hannover</v>
      </c>
      <c r="G20" t="str">
        <f>'1.Spieltag'!H32</f>
        <v>KSV Glauchau</v>
      </c>
      <c r="H20" t="str">
        <f>Saisondaten!$A$8</f>
        <v>1. Spieltag</v>
      </c>
      <c r="I20" t="str">
        <f>Saisondaten!$E$8</f>
        <v>Glauchau</v>
      </c>
      <c r="J20" s="67">
        <f>Saisondaten!$B$8</f>
        <v>43225</v>
      </c>
    </row>
    <row r="21" spans="1:10" ht="15">
      <c r="A21">
        <f>'1.Spieltag'!A33</f>
        <v>20</v>
      </c>
      <c r="B21" t="str">
        <f>'1.Spieltag'!B33</f>
        <v>T</v>
      </c>
      <c r="C21">
        <f>'1.Spieltag'!C33</f>
        <v>1</v>
      </c>
      <c r="D21" s="66">
        <f>'1.Spieltag'!D33</f>
        <v>0.5625</v>
      </c>
      <c r="E21" t="str">
        <f>'1.Spieltag'!E33</f>
        <v>B</v>
      </c>
      <c r="F21" t="str">
        <f>'1.Spieltag'!F33</f>
        <v>ACC Hamburg</v>
      </c>
      <c r="G21" t="str">
        <f>'1.Spieltag'!H33</f>
        <v>VK Berlin</v>
      </c>
      <c r="H21" t="str">
        <f>Saisondaten!$A$8</f>
        <v>1. Spieltag</v>
      </c>
      <c r="I21" t="str">
        <f>Saisondaten!$E$8</f>
        <v>Glauchau</v>
      </c>
      <c r="J21" s="67">
        <f>Saisondaten!$B$8</f>
        <v>43225</v>
      </c>
    </row>
    <row r="22" spans="1:10" ht="15">
      <c r="A22">
        <f>'1.Spieltag'!A34</f>
        <v>21</v>
      </c>
      <c r="B22" t="str">
        <f>'1.Spieltag'!B34</f>
        <v>T</v>
      </c>
      <c r="C22">
        <f>'1.Spieltag'!C34</f>
        <v>1</v>
      </c>
      <c r="D22" s="66">
        <f>'1.Spieltag'!D34</f>
        <v>0.59375</v>
      </c>
      <c r="E22" t="str">
        <f>'1.Spieltag'!E34</f>
        <v>B</v>
      </c>
      <c r="F22" t="str">
        <f>'1.Spieltag'!F34</f>
        <v>KCNW Berlin</v>
      </c>
      <c r="G22" t="str">
        <f>'1.Spieltag'!H34</f>
        <v>KSVH Berlin</v>
      </c>
      <c r="H22" t="str">
        <f>Saisondaten!$A$8</f>
        <v>1. Spieltag</v>
      </c>
      <c r="I22" t="str">
        <f>Saisondaten!$E$8</f>
        <v>Glauchau</v>
      </c>
      <c r="J22" s="67">
        <f>Saisondaten!$B$8</f>
        <v>43225</v>
      </c>
    </row>
    <row r="23" spans="1:10" ht="15">
      <c r="A23">
        <f>'1.Spieltag'!A35</f>
        <v>22</v>
      </c>
      <c r="B23" t="str">
        <f>'1.Spieltag'!B35</f>
        <v>T</v>
      </c>
      <c r="C23">
        <f>'1.Spieltag'!C35</f>
        <v>1</v>
      </c>
      <c r="D23" s="66">
        <f>'1.Spieltag'!D35</f>
        <v>0.6458333333333334</v>
      </c>
      <c r="E23" t="str">
        <f>'1.Spieltag'!E35</f>
        <v>B</v>
      </c>
      <c r="F23" t="str">
        <f>'1.Spieltag'!F35</f>
        <v>ACC Hamburg</v>
      </c>
      <c r="G23" t="str">
        <f>'1.Spieltag'!H35</f>
        <v>RSV Hannover</v>
      </c>
      <c r="H23" t="str">
        <f>Saisondaten!$A$8</f>
        <v>1. Spieltag</v>
      </c>
      <c r="I23" t="str">
        <f>Saisondaten!$E$8</f>
        <v>Glauchau</v>
      </c>
      <c r="J23" s="67">
        <f>Saisondaten!$B$8</f>
        <v>43225</v>
      </c>
    </row>
    <row r="24" spans="1:10" ht="15">
      <c r="A24">
        <f>'1.Spieltag'!A36</f>
        <v>23</v>
      </c>
      <c r="B24" t="str">
        <f>'1.Spieltag'!B36</f>
        <v>T</v>
      </c>
      <c r="C24">
        <f>'1.Spieltag'!C36</f>
        <v>1</v>
      </c>
      <c r="D24" s="66">
        <f>'1.Spieltag'!D36</f>
        <v>0.6770833333333334</v>
      </c>
      <c r="E24" t="str">
        <f>'1.Spieltag'!E36</f>
        <v>B</v>
      </c>
      <c r="F24" t="str">
        <f>'1.Spieltag'!F36</f>
        <v>KCNW Berlin</v>
      </c>
      <c r="G24" t="str">
        <f>'1.Spieltag'!H36</f>
        <v>KSV Glauchau</v>
      </c>
      <c r="H24" t="str">
        <f>Saisondaten!$A$8</f>
        <v>1. Spieltag</v>
      </c>
      <c r="I24" t="str">
        <f>Saisondaten!$E$8</f>
        <v>Glauchau</v>
      </c>
      <c r="J24" s="67">
        <f>Saisondaten!$B$8</f>
        <v>43225</v>
      </c>
    </row>
    <row r="25" spans="1:10" ht="15">
      <c r="A25">
        <f>'1.Spieltag'!A37</f>
        <v>24</v>
      </c>
      <c r="B25" t="str">
        <f>'1.Spieltag'!B37</f>
        <v>T</v>
      </c>
      <c r="C25">
        <f>'1.Spieltag'!C37</f>
        <v>1</v>
      </c>
      <c r="D25" s="66">
        <f>'1.Spieltag'!D37</f>
        <v>0.7083333333333334</v>
      </c>
      <c r="E25" t="str">
        <f>'1.Spieltag'!E37</f>
        <v>B</v>
      </c>
      <c r="F25" t="str">
        <f>'1.Spieltag'!F37</f>
        <v>VK Berlin</v>
      </c>
      <c r="G25" t="str">
        <f>'1.Spieltag'!H37</f>
        <v>KSVH Berlin</v>
      </c>
      <c r="H25" t="str">
        <f>Saisondaten!$A$8</f>
        <v>1. Spieltag</v>
      </c>
      <c r="I25" t="str">
        <f>Saisondaten!$E$8</f>
        <v>Glauchau</v>
      </c>
      <c r="J25" s="67">
        <f>Saisondaten!$B$8</f>
        <v>43225</v>
      </c>
    </row>
    <row r="26" spans="1:10" ht="15">
      <c r="A26">
        <f>'1.Spieltag'!A40</f>
        <v>25</v>
      </c>
      <c r="B26" t="str">
        <f>'1.Spieltag'!B40</f>
        <v>T</v>
      </c>
      <c r="C26">
        <f>'1.Spieltag'!C40</f>
        <v>1</v>
      </c>
      <c r="D26" s="66">
        <f>'1.Spieltag'!D40</f>
        <v>0.4166666666666667</v>
      </c>
      <c r="E26" t="str">
        <f>'1.Spieltag'!E40</f>
        <v>B</v>
      </c>
      <c r="F26" t="str">
        <f>'1.Spieltag'!F40</f>
        <v>VK Berlin</v>
      </c>
      <c r="G26" t="str">
        <f>'1.Spieltag'!H40</f>
        <v>KSV Glauchau</v>
      </c>
      <c r="H26" t="str">
        <f>Saisondaten!$A$8</f>
        <v>1. Spieltag</v>
      </c>
      <c r="I26" t="str">
        <f>Saisondaten!$E$8</f>
        <v>Glauchau</v>
      </c>
      <c r="J26" s="67">
        <f>Saisondaten!$C$8</f>
        <v>43226</v>
      </c>
    </row>
    <row r="27" spans="1:10" ht="15">
      <c r="A27">
        <f>'1.Spieltag'!A41</f>
        <v>26</v>
      </c>
      <c r="B27" t="str">
        <f>'1.Spieltag'!B41</f>
        <v>T</v>
      </c>
      <c r="C27">
        <f>'1.Spieltag'!C41</f>
        <v>1</v>
      </c>
      <c r="D27" s="66">
        <f>'1.Spieltag'!D41</f>
        <v>0.4479166666666667</v>
      </c>
      <c r="E27" t="str">
        <f>'1.Spieltag'!E41</f>
        <v>B</v>
      </c>
      <c r="F27" t="str">
        <f>'1.Spieltag'!F41</f>
        <v>ACC Hamburg</v>
      </c>
      <c r="G27" t="str">
        <f>'1.Spieltag'!H41</f>
        <v>KSVH Berlin</v>
      </c>
      <c r="H27" t="str">
        <f>Saisondaten!$A$8</f>
        <v>1. Spieltag</v>
      </c>
      <c r="I27" t="str">
        <f>Saisondaten!$E$8</f>
        <v>Glauchau</v>
      </c>
      <c r="J27" s="67">
        <f>Saisondaten!$C$8</f>
        <v>43226</v>
      </c>
    </row>
    <row r="28" spans="1:10" ht="15">
      <c r="A28">
        <f>'1.Spieltag'!A42</f>
        <v>27</v>
      </c>
      <c r="B28" t="str">
        <f>'1.Spieltag'!B42</f>
        <v>T</v>
      </c>
      <c r="C28">
        <f>'1.Spieltag'!C42</f>
        <v>1</v>
      </c>
      <c r="D28" s="66">
        <f>'1.Spieltag'!D42</f>
        <v>0.4791666666666667</v>
      </c>
      <c r="E28" t="str">
        <f>'1.Spieltag'!E42</f>
        <v>B</v>
      </c>
      <c r="F28" t="str">
        <f>'1.Spieltag'!F42</f>
        <v>KCNW Berlin</v>
      </c>
      <c r="G28" t="str">
        <f>'1.Spieltag'!H42</f>
        <v>RSV Hannover</v>
      </c>
      <c r="H28" t="str">
        <f>Saisondaten!$A$8</f>
        <v>1. Spieltag</v>
      </c>
      <c r="I28" t="str">
        <f>Saisondaten!$E$8</f>
        <v>Glauchau</v>
      </c>
      <c r="J28" s="67">
        <f>Saisondaten!$C$8</f>
        <v>43226</v>
      </c>
    </row>
    <row r="29" spans="1:10" ht="15">
      <c r="A29">
        <f>'1.Spieltag'!A43</f>
        <v>28</v>
      </c>
      <c r="B29" t="str">
        <f>'1.Spieltag'!B43</f>
        <v>T</v>
      </c>
      <c r="C29">
        <f>'1.Spieltag'!C43</f>
        <v>1</v>
      </c>
      <c r="D29" s="66">
        <f>'1.Spieltag'!D43</f>
        <v>0.5208333333333334</v>
      </c>
      <c r="E29" t="str">
        <f>'1.Spieltag'!E43</f>
        <v>B</v>
      </c>
      <c r="F29" t="str">
        <f>'1.Spieltag'!F43</f>
        <v>KSV Glauchau</v>
      </c>
      <c r="G29" t="str">
        <f>'1.Spieltag'!H43</f>
        <v>KSVH Berlin</v>
      </c>
      <c r="H29" t="str">
        <f>Saisondaten!$A$8</f>
        <v>1. Spieltag</v>
      </c>
      <c r="I29" t="str">
        <f>Saisondaten!$E$8</f>
        <v>Glauchau</v>
      </c>
      <c r="J29" s="67">
        <f>Saisondaten!$C$8</f>
        <v>43226</v>
      </c>
    </row>
    <row r="30" spans="1:10" ht="15">
      <c r="A30">
        <f>'1.Spieltag'!A44</f>
        <v>29</v>
      </c>
      <c r="B30" t="str">
        <f>'1.Spieltag'!B44</f>
        <v>T</v>
      </c>
      <c r="C30">
        <f>'1.Spieltag'!C44</f>
        <v>1</v>
      </c>
      <c r="D30" s="66">
        <f>'1.Spieltag'!D44</f>
        <v>0.5520833333333334</v>
      </c>
      <c r="E30" t="str">
        <f>'1.Spieltag'!E44</f>
        <v>B</v>
      </c>
      <c r="F30" t="str">
        <f>'1.Spieltag'!F44</f>
        <v>RSV Hannover</v>
      </c>
      <c r="G30" t="str">
        <f>'1.Spieltag'!H44</f>
        <v>VK Berlin</v>
      </c>
      <c r="H30" t="str">
        <f>Saisondaten!$A$8</f>
        <v>1. Spieltag</v>
      </c>
      <c r="I30" t="str">
        <f>Saisondaten!$E$8</f>
        <v>Glauchau</v>
      </c>
      <c r="J30" s="67">
        <f>Saisondaten!$C$8</f>
        <v>43226</v>
      </c>
    </row>
    <row r="31" spans="1:10" ht="15">
      <c r="A31">
        <f>'1.Spieltag'!A45</f>
        <v>30</v>
      </c>
      <c r="B31" t="str">
        <f>'1.Spieltag'!B45</f>
        <v>T</v>
      </c>
      <c r="C31">
        <f>'1.Spieltag'!C45</f>
        <v>1</v>
      </c>
      <c r="D31" s="66">
        <f>'1.Spieltag'!D45</f>
        <v>0.5833333333333334</v>
      </c>
      <c r="E31" t="str">
        <f>'1.Spieltag'!E45</f>
        <v>B</v>
      </c>
      <c r="F31" t="str">
        <f>'1.Spieltag'!F45</f>
        <v>ACC Hamburg</v>
      </c>
      <c r="G31" t="str">
        <f>'1.Spieltag'!H45</f>
        <v>KCNW Berlin</v>
      </c>
      <c r="H31" t="str">
        <f>Saisondaten!$A$8</f>
        <v>1. Spieltag</v>
      </c>
      <c r="I31" t="str">
        <f>Saisondaten!$E$8</f>
        <v>Glauchau</v>
      </c>
      <c r="J31" s="67">
        <f>Saisondaten!$C$8</f>
        <v>43226</v>
      </c>
    </row>
    <row r="32" spans="1:10" ht="15">
      <c r="A32">
        <f>'2.Spieltag'!A7</f>
        <v>31</v>
      </c>
      <c r="B32" t="str">
        <f>'2.Spieltag'!B7</f>
        <v>T</v>
      </c>
      <c r="C32">
        <f>'2.Spieltag'!C7</f>
        <v>1</v>
      </c>
      <c r="D32" s="66">
        <f>'2.Spieltag'!D7</f>
        <v>0.3958333333333333</v>
      </c>
      <c r="E32" t="str">
        <f>'2.Spieltag'!E7</f>
        <v>A/B</v>
      </c>
      <c r="F32" t="str">
        <f>'2.Spieltag'!F7</f>
        <v>KRM Essen</v>
      </c>
      <c r="G32" t="str">
        <f>'2.Spieltag'!H7</f>
        <v>KSVH Berlin</v>
      </c>
      <c r="H32" t="str">
        <f>Saisondaten!$A$9</f>
        <v>2. Spieltag</v>
      </c>
      <c r="I32" t="str">
        <f>Saisondaten!$D$9</f>
        <v>Berne</v>
      </c>
      <c r="J32" s="67">
        <f>Saisondaten!$B$9</f>
        <v>43253</v>
      </c>
    </row>
    <row r="33" spans="1:10" ht="15">
      <c r="A33">
        <f>'2.Spieltag'!A8</f>
        <v>32</v>
      </c>
      <c r="B33" t="str">
        <f>'2.Spieltag'!B8</f>
        <v>T</v>
      </c>
      <c r="C33">
        <f>'2.Spieltag'!C8</f>
        <v>2</v>
      </c>
      <c r="D33" s="66">
        <f>'2.Spieltag'!D8</f>
        <v>0.3958333333333333</v>
      </c>
      <c r="E33" t="str">
        <f>'2.Spieltag'!E8</f>
        <v>A/B</v>
      </c>
      <c r="F33" t="str">
        <f>'2.Spieltag'!F8</f>
        <v>WSF Liblar</v>
      </c>
      <c r="G33" t="str">
        <f>'2.Spieltag'!H8</f>
        <v>KSV Glauchau</v>
      </c>
      <c r="H33" t="str">
        <f>Saisondaten!$A$9</f>
        <v>2. Spieltag</v>
      </c>
      <c r="I33" t="str">
        <f>Saisondaten!$D$9</f>
        <v>Berne</v>
      </c>
      <c r="J33" s="67">
        <f>Saisondaten!$B$9</f>
        <v>43253</v>
      </c>
    </row>
    <row r="34" spans="1:10" ht="15">
      <c r="A34">
        <f>'2.Spieltag'!A9</f>
        <v>33</v>
      </c>
      <c r="B34" t="str">
        <f>'2.Spieltag'!B9</f>
        <v>T</v>
      </c>
      <c r="C34">
        <f>'2.Spieltag'!C9</f>
        <v>1</v>
      </c>
      <c r="D34" s="66">
        <f>'2.Spieltag'!D9</f>
        <v>0.4270833333333333</v>
      </c>
      <c r="E34" t="str">
        <f>'2.Spieltag'!E9</f>
        <v>A/B</v>
      </c>
      <c r="F34" t="str">
        <f>'2.Spieltag'!F9</f>
        <v>1. MKC Duisburg</v>
      </c>
      <c r="G34" t="str">
        <f>'2.Spieltag'!H9</f>
        <v>VK Berlin</v>
      </c>
      <c r="H34" t="str">
        <f>Saisondaten!$A$9</f>
        <v>2. Spieltag</v>
      </c>
      <c r="I34" t="str">
        <f>Saisondaten!$D$9</f>
        <v>Berne</v>
      </c>
      <c r="J34" s="67">
        <f>Saisondaten!$B$9</f>
        <v>43253</v>
      </c>
    </row>
    <row r="35" spans="1:10" ht="15">
      <c r="A35">
        <f>'2.Spieltag'!A10</f>
        <v>34</v>
      </c>
      <c r="B35" t="str">
        <f>'2.Spieltag'!B10</f>
        <v>T</v>
      </c>
      <c r="C35">
        <f>'2.Spieltag'!C10</f>
        <v>2</v>
      </c>
      <c r="D35" s="66">
        <f>'2.Spieltag'!D10</f>
        <v>0.4270833333333333</v>
      </c>
      <c r="E35" t="str">
        <f>'2.Spieltag'!E10</f>
        <v>A/B</v>
      </c>
      <c r="F35" t="str">
        <f>'2.Spieltag'!F10</f>
        <v>KC Wetter</v>
      </c>
      <c r="G35" t="str">
        <f>'2.Spieltag'!H10</f>
        <v>RSV Hannover</v>
      </c>
      <c r="H35" t="str">
        <f>Saisondaten!$A$9</f>
        <v>2. Spieltag</v>
      </c>
      <c r="I35" t="str">
        <f>Saisondaten!$D$9</f>
        <v>Berne</v>
      </c>
      <c r="J35" s="67">
        <f>Saisondaten!$B$9</f>
        <v>43253</v>
      </c>
    </row>
    <row r="36" spans="1:10" ht="15">
      <c r="A36">
        <f>'2.Spieltag'!A11</f>
        <v>35</v>
      </c>
      <c r="B36" t="str">
        <f>'2.Spieltag'!B11</f>
        <v>T</v>
      </c>
      <c r="C36">
        <f>'2.Spieltag'!C11</f>
        <v>1</v>
      </c>
      <c r="D36" s="66">
        <f>'2.Spieltag'!D11</f>
        <v>0.4583333333333333</v>
      </c>
      <c r="E36" t="str">
        <f>'2.Spieltag'!E11</f>
        <v>A/B</v>
      </c>
      <c r="F36" t="str">
        <f>'2.Spieltag'!F11</f>
        <v>KGW Essen</v>
      </c>
      <c r="G36" t="str">
        <f>'2.Spieltag'!H11</f>
        <v>KCNW Berlin</v>
      </c>
      <c r="H36" t="str">
        <f>Saisondaten!$A$9</f>
        <v>2. Spieltag</v>
      </c>
      <c r="I36" t="str">
        <f>Saisondaten!$D$9</f>
        <v>Berne</v>
      </c>
      <c r="J36" s="67">
        <f>Saisondaten!$B$9</f>
        <v>43253</v>
      </c>
    </row>
    <row r="37" spans="1:10" ht="15">
      <c r="A37">
        <f>'2.Spieltag'!A12</f>
        <v>36</v>
      </c>
      <c r="B37" t="str">
        <f>'2.Spieltag'!B12</f>
        <v>T</v>
      </c>
      <c r="C37">
        <f>'2.Spieltag'!C12</f>
        <v>2</v>
      </c>
      <c r="D37" s="66">
        <f>'2.Spieltag'!D12</f>
        <v>0.4583333333333333</v>
      </c>
      <c r="E37" t="str">
        <f>'2.Spieltag'!E12</f>
        <v>A/B</v>
      </c>
      <c r="F37" t="str">
        <f>'2.Spieltag'!F12</f>
        <v>Göttinger PC</v>
      </c>
      <c r="G37" t="str">
        <f>'2.Spieltag'!H12</f>
        <v>ACC Hamburg</v>
      </c>
      <c r="H37" t="str">
        <f>Saisondaten!$A$9</f>
        <v>2. Spieltag</v>
      </c>
      <c r="I37" t="str">
        <f>Saisondaten!$D$9</f>
        <v>Berne</v>
      </c>
      <c r="J37" s="67">
        <f>Saisondaten!$B$9</f>
        <v>43253</v>
      </c>
    </row>
    <row r="38" spans="1:10" ht="15">
      <c r="A38">
        <f>'2.Spieltag'!A13</f>
        <v>37</v>
      </c>
      <c r="B38" t="str">
        <f>'2.Spieltag'!B13</f>
        <v>T</v>
      </c>
      <c r="C38">
        <f>'2.Spieltag'!C13</f>
        <v>1</v>
      </c>
      <c r="D38" s="66">
        <f>'2.Spieltag'!D13</f>
        <v>0.4895833333333333</v>
      </c>
      <c r="E38" t="str">
        <f>'2.Spieltag'!E13</f>
        <v>A/B</v>
      </c>
      <c r="F38" t="str">
        <f>'2.Spieltag'!F13</f>
        <v>KRM Essen</v>
      </c>
      <c r="G38" t="str">
        <f>'2.Spieltag'!H13</f>
        <v>KSV Glauchau</v>
      </c>
      <c r="H38" t="str">
        <f>Saisondaten!$A$9</f>
        <v>2. Spieltag</v>
      </c>
      <c r="I38" t="str">
        <f>Saisondaten!$D$9</f>
        <v>Berne</v>
      </c>
      <c r="J38" s="67">
        <f>Saisondaten!$B$9</f>
        <v>43253</v>
      </c>
    </row>
    <row r="39" spans="1:10" ht="15">
      <c r="A39">
        <f>'2.Spieltag'!A14</f>
        <v>38</v>
      </c>
      <c r="B39" t="str">
        <f>'2.Spieltag'!B14</f>
        <v>T</v>
      </c>
      <c r="C39">
        <f>'2.Spieltag'!C14</f>
        <v>2</v>
      </c>
      <c r="D39" s="66">
        <f>'2.Spieltag'!D14</f>
        <v>0.4895833333333333</v>
      </c>
      <c r="E39" t="str">
        <f>'2.Spieltag'!E14</f>
        <v>A/B</v>
      </c>
      <c r="F39" t="str">
        <f>'2.Spieltag'!F14</f>
        <v>WSF Liblar</v>
      </c>
      <c r="G39" t="str">
        <f>'2.Spieltag'!H14</f>
        <v>KSVH Berlin</v>
      </c>
      <c r="H39" t="str">
        <f>Saisondaten!$A$9</f>
        <v>2. Spieltag</v>
      </c>
      <c r="I39" t="str">
        <f>Saisondaten!$D$9</f>
        <v>Berne</v>
      </c>
      <c r="J39" s="67">
        <f>Saisondaten!$B$9</f>
        <v>43253</v>
      </c>
    </row>
    <row r="40" spans="1:10" ht="15">
      <c r="A40">
        <f>'2.Spieltag'!A15</f>
        <v>39</v>
      </c>
      <c r="B40" t="str">
        <f>'2.Spieltag'!B15</f>
        <v>T</v>
      </c>
      <c r="C40">
        <f>'2.Spieltag'!C15</f>
        <v>1</v>
      </c>
      <c r="D40" s="66">
        <f>'2.Spieltag'!D15</f>
        <v>0.5208333333333333</v>
      </c>
      <c r="E40" t="str">
        <f>'2.Spieltag'!E15</f>
        <v>A/B</v>
      </c>
      <c r="F40" t="str">
        <f>'2.Spieltag'!F15</f>
        <v>1. MKC Duisburg</v>
      </c>
      <c r="G40" t="str">
        <f>'2.Spieltag'!H15</f>
        <v>RSV Hannover</v>
      </c>
      <c r="H40" t="str">
        <f>Saisondaten!$A$9</f>
        <v>2. Spieltag</v>
      </c>
      <c r="I40" t="str">
        <f>Saisondaten!$D$9</f>
        <v>Berne</v>
      </c>
      <c r="J40" s="67">
        <f>Saisondaten!$B$9</f>
        <v>43253</v>
      </c>
    </row>
    <row r="41" spans="1:10" ht="15">
      <c r="A41">
        <f>'2.Spieltag'!A16</f>
        <v>40</v>
      </c>
      <c r="B41" t="str">
        <f>'2.Spieltag'!B16</f>
        <v>T</v>
      </c>
      <c r="C41">
        <f>'2.Spieltag'!C16</f>
        <v>2</v>
      </c>
      <c r="D41" s="66">
        <f>'2.Spieltag'!D16</f>
        <v>0.5208333333333333</v>
      </c>
      <c r="E41" t="str">
        <f>'2.Spieltag'!E16</f>
        <v>A/B</v>
      </c>
      <c r="F41" t="str">
        <f>'2.Spieltag'!F16</f>
        <v>KC Wetter</v>
      </c>
      <c r="G41" t="str">
        <f>'2.Spieltag'!H16</f>
        <v>VK Berlin</v>
      </c>
      <c r="H41" t="str">
        <f>Saisondaten!$A$9</f>
        <v>2. Spieltag</v>
      </c>
      <c r="I41" t="str">
        <f>Saisondaten!$D$9</f>
        <v>Berne</v>
      </c>
      <c r="J41" s="67">
        <f>Saisondaten!$B$9</f>
        <v>43253</v>
      </c>
    </row>
    <row r="42" spans="1:10" ht="15">
      <c r="A42">
        <f>'2.Spieltag'!A17</f>
        <v>41</v>
      </c>
      <c r="B42" t="str">
        <f>'2.Spieltag'!B17</f>
        <v>T</v>
      </c>
      <c r="C42">
        <f>'2.Spieltag'!C17</f>
        <v>1</v>
      </c>
      <c r="D42" s="66">
        <f>'2.Spieltag'!D17</f>
        <v>0.5625</v>
      </c>
      <c r="E42" t="str">
        <f>'2.Spieltag'!E17</f>
        <v>A/B</v>
      </c>
      <c r="F42" t="str">
        <f>'2.Spieltag'!F17</f>
        <v>KGW Essen</v>
      </c>
      <c r="G42" t="str">
        <f>'2.Spieltag'!H17</f>
        <v>ACC Hamburg</v>
      </c>
      <c r="H42" t="str">
        <f>Saisondaten!$A$9</f>
        <v>2. Spieltag</v>
      </c>
      <c r="I42" t="str">
        <f>Saisondaten!$D$9</f>
        <v>Berne</v>
      </c>
      <c r="J42" s="67">
        <f>Saisondaten!$B$9</f>
        <v>43253</v>
      </c>
    </row>
    <row r="43" spans="1:10" ht="15">
      <c r="A43">
        <f>'2.Spieltag'!A18</f>
        <v>42</v>
      </c>
      <c r="B43" t="str">
        <f>'2.Spieltag'!B18</f>
        <v>T</v>
      </c>
      <c r="C43">
        <f>'2.Spieltag'!C18</f>
        <v>2</v>
      </c>
      <c r="D43" s="66">
        <f>'2.Spieltag'!D18</f>
        <v>0.5625</v>
      </c>
      <c r="E43" t="str">
        <f>'2.Spieltag'!E18</f>
        <v>A/B</v>
      </c>
      <c r="F43" t="str">
        <f>'2.Spieltag'!F18</f>
        <v>Göttinger PC</v>
      </c>
      <c r="G43" t="str">
        <f>'2.Spieltag'!H18</f>
        <v>KCNW Berlin</v>
      </c>
      <c r="H43" t="str">
        <f>Saisondaten!$A$9</f>
        <v>2. Spieltag</v>
      </c>
      <c r="I43" t="str">
        <f>Saisondaten!$D$9</f>
        <v>Berne</v>
      </c>
      <c r="J43" s="67">
        <f>Saisondaten!$B$9</f>
        <v>43253</v>
      </c>
    </row>
    <row r="44" spans="1:10" ht="15">
      <c r="A44">
        <f>'2.Spieltag'!A19</f>
        <v>43</v>
      </c>
      <c r="B44" t="str">
        <f>'2.Spieltag'!B19</f>
        <v>T</v>
      </c>
      <c r="C44">
        <f>'2.Spieltag'!C19</f>
        <v>1</v>
      </c>
      <c r="D44" s="66">
        <f>'2.Spieltag'!D19</f>
        <v>0.59375</v>
      </c>
      <c r="E44" t="str">
        <f>'2.Spieltag'!E19</f>
        <v>A/B</v>
      </c>
      <c r="F44" t="str">
        <f>'2.Spieltag'!F19</f>
        <v>KRM Essen</v>
      </c>
      <c r="G44" t="str">
        <f>'2.Spieltag'!H19</f>
        <v>VK Berlin</v>
      </c>
      <c r="H44" t="str">
        <f>Saisondaten!$A$9</f>
        <v>2. Spieltag</v>
      </c>
      <c r="I44" t="str">
        <f>Saisondaten!$D$9</f>
        <v>Berne</v>
      </c>
      <c r="J44" s="67">
        <f>Saisondaten!$B$9</f>
        <v>43253</v>
      </c>
    </row>
    <row r="45" spans="1:10" ht="15">
      <c r="A45">
        <f>'2.Spieltag'!A20</f>
        <v>44</v>
      </c>
      <c r="B45" t="str">
        <f>'2.Spieltag'!B20</f>
        <v>T</v>
      </c>
      <c r="C45">
        <f>'2.Spieltag'!C20</f>
        <v>2</v>
      </c>
      <c r="D45" s="66">
        <f>'2.Spieltag'!D20</f>
        <v>0.59375</v>
      </c>
      <c r="E45" t="str">
        <f>'2.Spieltag'!E20</f>
        <v>A/B</v>
      </c>
      <c r="F45" t="str">
        <f>'2.Spieltag'!F20</f>
        <v>WSF Liblar</v>
      </c>
      <c r="G45" t="str">
        <f>'2.Spieltag'!H20</f>
        <v>RSV Hannover</v>
      </c>
      <c r="H45" t="str">
        <f>Saisondaten!$A$9</f>
        <v>2. Spieltag</v>
      </c>
      <c r="I45" t="str">
        <f>Saisondaten!$D$9</f>
        <v>Berne</v>
      </c>
      <c r="J45" s="67">
        <f>Saisondaten!$B$9</f>
        <v>43253</v>
      </c>
    </row>
    <row r="46" spans="1:10" ht="15">
      <c r="A46">
        <f>'2.Spieltag'!A21</f>
        <v>45</v>
      </c>
      <c r="B46" t="str">
        <f>'2.Spieltag'!B21</f>
        <v>T</v>
      </c>
      <c r="C46">
        <f>'2.Spieltag'!C21</f>
        <v>1</v>
      </c>
      <c r="D46" s="66">
        <f>'2.Spieltag'!D21</f>
        <v>0.625</v>
      </c>
      <c r="E46" t="str">
        <f>'2.Spieltag'!E21</f>
        <v>A/B</v>
      </c>
      <c r="F46" t="str">
        <f>'2.Spieltag'!F21</f>
        <v>1. MKC Duisburg</v>
      </c>
      <c r="G46" t="str">
        <f>'2.Spieltag'!H21</f>
        <v>KCNW Berlin</v>
      </c>
      <c r="H46" t="str">
        <f>Saisondaten!$A$9</f>
        <v>2. Spieltag</v>
      </c>
      <c r="I46" t="str">
        <f>Saisondaten!$D$9</f>
        <v>Berne</v>
      </c>
      <c r="J46" s="67">
        <f>Saisondaten!$B$9</f>
        <v>43253</v>
      </c>
    </row>
    <row r="47" spans="1:10" ht="15">
      <c r="A47">
        <f>'2.Spieltag'!A22</f>
        <v>46</v>
      </c>
      <c r="B47" t="str">
        <f>'2.Spieltag'!B22</f>
        <v>T</v>
      </c>
      <c r="C47">
        <f>'2.Spieltag'!C22</f>
        <v>2</v>
      </c>
      <c r="D47" s="66">
        <f>'2.Spieltag'!D22</f>
        <v>0.625</v>
      </c>
      <c r="E47" t="str">
        <f>'2.Spieltag'!E22</f>
        <v>A/B</v>
      </c>
      <c r="F47" t="str">
        <f>'2.Spieltag'!F22</f>
        <v>KC Wetter</v>
      </c>
      <c r="G47" t="str">
        <f>'2.Spieltag'!H22</f>
        <v>ACC Hamburg</v>
      </c>
      <c r="H47" t="str">
        <f>Saisondaten!$A$9</f>
        <v>2. Spieltag</v>
      </c>
      <c r="I47" t="str">
        <f>Saisondaten!$D$9</f>
        <v>Berne</v>
      </c>
      <c r="J47" s="67">
        <f>Saisondaten!$B$9</f>
        <v>43253</v>
      </c>
    </row>
    <row r="48" spans="1:10" ht="15">
      <c r="A48">
        <f>'2.Spieltag'!A23</f>
        <v>47</v>
      </c>
      <c r="B48" t="str">
        <f>'2.Spieltag'!B23</f>
        <v>T</v>
      </c>
      <c r="C48">
        <f>'2.Spieltag'!C23</f>
        <v>1</v>
      </c>
      <c r="D48" s="66">
        <f>'2.Spieltag'!D23</f>
        <v>0.65625</v>
      </c>
      <c r="E48" t="str">
        <f>'2.Spieltag'!E23</f>
        <v>A/B</v>
      </c>
      <c r="F48" t="str">
        <f>'2.Spieltag'!F23</f>
        <v>KGW Essen</v>
      </c>
      <c r="G48" t="str">
        <f>'2.Spieltag'!H23</f>
        <v>KSVH Berlin</v>
      </c>
      <c r="H48" t="str">
        <f>Saisondaten!$A$9</f>
        <v>2. Spieltag</v>
      </c>
      <c r="I48" t="str">
        <f>Saisondaten!$D$9</f>
        <v>Berne</v>
      </c>
      <c r="J48" s="67">
        <f>Saisondaten!$B$9</f>
        <v>43253</v>
      </c>
    </row>
    <row r="49" spans="1:10" ht="15">
      <c r="A49">
        <f>'2.Spieltag'!A24</f>
        <v>48</v>
      </c>
      <c r="B49" t="str">
        <f>'2.Spieltag'!B24</f>
        <v>T</v>
      </c>
      <c r="C49">
        <f>'2.Spieltag'!C24</f>
        <v>2</v>
      </c>
      <c r="D49" s="66">
        <f>'2.Spieltag'!D24</f>
        <v>0.65625</v>
      </c>
      <c r="E49" t="str">
        <f>'2.Spieltag'!E24</f>
        <v>A/B</v>
      </c>
      <c r="F49" t="str">
        <f>'2.Spieltag'!F24</f>
        <v>Göttinger PC</v>
      </c>
      <c r="G49" t="str">
        <f>'2.Spieltag'!H24</f>
        <v>KSV Glauchau</v>
      </c>
      <c r="H49" t="str">
        <f>Saisondaten!$A$9</f>
        <v>2. Spieltag</v>
      </c>
      <c r="I49" t="str">
        <f>Saisondaten!$D$9</f>
        <v>Berne</v>
      </c>
      <c r="J49" s="67">
        <f>Saisondaten!$B$9</f>
        <v>43253</v>
      </c>
    </row>
    <row r="50" spans="1:10" ht="15">
      <c r="A50">
        <f>'2.Spieltag'!A25</f>
        <v>49</v>
      </c>
      <c r="B50" t="str">
        <f>'2.Spieltag'!B25</f>
        <v>T</v>
      </c>
      <c r="C50">
        <f>'2.Spieltag'!C25</f>
        <v>1</v>
      </c>
      <c r="D50" s="66">
        <f>'2.Spieltag'!D25</f>
        <v>0.6875</v>
      </c>
      <c r="E50" t="str">
        <f>'2.Spieltag'!E25</f>
        <v>A/B</v>
      </c>
      <c r="F50" t="str">
        <f>'2.Spieltag'!F25</f>
        <v>KRM Essen</v>
      </c>
      <c r="G50" t="str">
        <f>'2.Spieltag'!H25</f>
        <v>RSV Hannover</v>
      </c>
      <c r="H50" t="str">
        <f>Saisondaten!$A$9</f>
        <v>2. Spieltag</v>
      </c>
      <c r="I50" t="str">
        <f>Saisondaten!$D$9</f>
        <v>Berne</v>
      </c>
      <c r="J50" s="67">
        <f>Saisondaten!$B$9</f>
        <v>43253</v>
      </c>
    </row>
    <row r="51" spans="1:10" ht="15">
      <c r="A51">
        <f>'2.Spieltag'!A26</f>
        <v>50</v>
      </c>
      <c r="B51" t="str">
        <f>'2.Spieltag'!B26</f>
        <v>T</v>
      </c>
      <c r="C51">
        <f>'2.Spieltag'!C26</f>
        <v>2</v>
      </c>
      <c r="D51" s="66">
        <f>'2.Spieltag'!D26</f>
        <v>0.6875</v>
      </c>
      <c r="E51" t="str">
        <f>'2.Spieltag'!E26</f>
        <v>A/B</v>
      </c>
      <c r="F51" t="str">
        <f>'2.Spieltag'!F26</f>
        <v>WSF Liblar</v>
      </c>
      <c r="G51" t="str">
        <f>'2.Spieltag'!H26</f>
        <v>VK Berlin</v>
      </c>
      <c r="H51" t="str">
        <f>Saisondaten!$A$9</f>
        <v>2. Spieltag</v>
      </c>
      <c r="I51" t="str">
        <f>Saisondaten!$D$9</f>
        <v>Berne</v>
      </c>
      <c r="J51" s="67">
        <f>Saisondaten!$B$9</f>
        <v>43253</v>
      </c>
    </row>
    <row r="52" spans="1:10" ht="15">
      <c r="A52">
        <f>'2.Spieltag'!A27</f>
        <v>51</v>
      </c>
      <c r="B52" t="str">
        <f>'2.Spieltag'!B27</f>
        <v>T</v>
      </c>
      <c r="C52">
        <f>'2.Spieltag'!C27</f>
        <v>1</v>
      </c>
      <c r="D52" s="66">
        <f>'2.Spieltag'!D27</f>
        <v>0.71875</v>
      </c>
      <c r="E52" t="str">
        <f>'2.Spieltag'!E27</f>
        <v>A/B</v>
      </c>
      <c r="F52" t="str">
        <f>'2.Spieltag'!F27</f>
        <v>1. MKC Duisburg</v>
      </c>
      <c r="G52" t="str">
        <f>'2.Spieltag'!H27</f>
        <v>ACC Hamburg</v>
      </c>
      <c r="H52" t="str">
        <f>Saisondaten!$A$9</f>
        <v>2. Spieltag</v>
      </c>
      <c r="I52" t="str">
        <f>Saisondaten!$D$9</f>
        <v>Berne</v>
      </c>
      <c r="J52" s="67">
        <f>Saisondaten!$B$9</f>
        <v>43253</v>
      </c>
    </row>
    <row r="53" spans="1:10" ht="15">
      <c r="A53">
        <f>'2.Spieltag'!A28</f>
        <v>52</v>
      </c>
      <c r="B53" t="str">
        <f>'2.Spieltag'!B28</f>
        <v>T</v>
      </c>
      <c r="C53">
        <f>'2.Spieltag'!C28</f>
        <v>2</v>
      </c>
      <c r="D53" s="66">
        <f>'2.Spieltag'!D28</f>
        <v>0.71875</v>
      </c>
      <c r="E53" t="str">
        <f>'2.Spieltag'!E28</f>
        <v>A/B</v>
      </c>
      <c r="F53" t="str">
        <f>'2.Spieltag'!F28</f>
        <v>KC Wetter</v>
      </c>
      <c r="G53" t="str">
        <f>'2.Spieltag'!H28</f>
        <v>KCNW Berlin</v>
      </c>
      <c r="H53" t="str">
        <f>Saisondaten!$A$9</f>
        <v>2. Spieltag</v>
      </c>
      <c r="I53" t="str">
        <f>Saisondaten!$D$9</f>
        <v>Berne</v>
      </c>
      <c r="J53" s="67">
        <f>Saisondaten!$B$9</f>
        <v>43253</v>
      </c>
    </row>
    <row r="54" spans="1:10" ht="15">
      <c r="A54">
        <f>'2.Spieltag'!A29</f>
        <v>53</v>
      </c>
      <c r="B54" t="str">
        <f>'2.Spieltag'!B29</f>
        <v>T</v>
      </c>
      <c r="C54">
        <f>'2.Spieltag'!C29</f>
        <v>1</v>
      </c>
      <c r="D54" s="66">
        <f>'2.Spieltag'!D29</f>
        <v>0.75</v>
      </c>
      <c r="E54" t="str">
        <f>'2.Spieltag'!E29</f>
        <v>A/B</v>
      </c>
      <c r="F54" t="str">
        <f>'2.Spieltag'!F29</f>
        <v>KGW Essen</v>
      </c>
      <c r="G54" t="str">
        <f>'2.Spieltag'!H29</f>
        <v>KSV Glauchau</v>
      </c>
      <c r="H54" t="str">
        <f>Saisondaten!$A$9</f>
        <v>2. Spieltag</v>
      </c>
      <c r="I54" t="str">
        <f>Saisondaten!$D$9</f>
        <v>Berne</v>
      </c>
      <c r="J54" s="67">
        <f>Saisondaten!$B$9</f>
        <v>43253</v>
      </c>
    </row>
    <row r="55" spans="1:10" ht="15">
      <c r="A55">
        <f>'2.Spieltag'!A30</f>
        <v>54</v>
      </c>
      <c r="B55" t="str">
        <f>'2.Spieltag'!B30</f>
        <v>T</v>
      </c>
      <c r="C55">
        <f>'2.Spieltag'!C30</f>
        <v>2</v>
      </c>
      <c r="D55" s="66">
        <f>'2.Spieltag'!D30</f>
        <v>0.75</v>
      </c>
      <c r="E55" t="str">
        <f>'2.Spieltag'!E30</f>
        <v>A/B</v>
      </c>
      <c r="F55" t="str">
        <f>'2.Spieltag'!F30</f>
        <v>Göttinger PC</v>
      </c>
      <c r="G55" t="str">
        <f>'2.Spieltag'!H30</f>
        <v>KSVH Berlin</v>
      </c>
      <c r="H55" t="str">
        <f>Saisondaten!$A$9</f>
        <v>2. Spieltag</v>
      </c>
      <c r="I55" t="str">
        <f>Saisondaten!$D$9</f>
        <v>Berne</v>
      </c>
      <c r="J55" s="67">
        <f>Saisondaten!$B$9</f>
        <v>43253</v>
      </c>
    </row>
    <row r="56" spans="1:10" ht="15">
      <c r="A56">
        <f>'2.Spieltag'!A33</f>
        <v>55</v>
      </c>
      <c r="B56" t="str">
        <f>'2.Spieltag'!B33</f>
        <v>T</v>
      </c>
      <c r="C56">
        <f>'2.Spieltag'!C33</f>
        <v>1</v>
      </c>
      <c r="D56" s="66">
        <f>'2.Spieltag'!D33</f>
        <v>0.3854166666666667</v>
      </c>
      <c r="E56" t="str">
        <f>'2.Spieltag'!E33</f>
        <v>A/B</v>
      </c>
      <c r="F56" t="str">
        <f>'2.Spieltag'!F33</f>
        <v>KGW Essen</v>
      </c>
      <c r="G56" t="str">
        <f>'2.Spieltag'!H33</f>
        <v>VK Berlin</v>
      </c>
      <c r="H56" t="str">
        <f>Saisondaten!$A$9</f>
        <v>2. Spieltag</v>
      </c>
      <c r="I56" t="str">
        <f>Saisondaten!$D$9</f>
        <v>Berne</v>
      </c>
      <c r="J56" s="67">
        <f>Saisondaten!$C$9</f>
        <v>43254</v>
      </c>
    </row>
    <row r="57" spans="1:10" ht="15">
      <c r="A57">
        <f>'2.Spieltag'!A34</f>
        <v>56</v>
      </c>
      <c r="B57" t="str">
        <f>'2.Spieltag'!B34</f>
        <v>T</v>
      </c>
      <c r="C57">
        <f>'2.Spieltag'!C34</f>
        <v>2</v>
      </c>
      <c r="D57" s="66">
        <f>'2.Spieltag'!D34</f>
        <v>0.3854166666666667</v>
      </c>
      <c r="E57" t="str">
        <f>'2.Spieltag'!E34</f>
        <v>A/B</v>
      </c>
      <c r="F57" t="str">
        <f>'2.Spieltag'!F34</f>
        <v>Göttinger PC</v>
      </c>
      <c r="G57" t="str">
        <f>'2.Spieltag'!H34</f>
        <v>RSV Hannover</v>
      </c>
      <c r="H57" t="str">
        <f>Saisondaten!$A$9</f>
        <v>2. Spieltag</v>
      </c>
      <c r="I57" t="str">
        <f>Saisondaten!$D$9</f>
        <v>Berne</v>
      </c>
      <c r="J57" s="67">
        <f>Saisondaten!$C$9</f>
        <v>43254</v>
      </c>
    </row>
    <row r="58" spans="1:10" ht="15">
      <c r="A58">
        <f>'2.Spieltag'!A35</f>
        <v>57</v>
      </c>
      <c r="B58" t="str">
        <f>'2.Spieltag'!B35</f>
        <v>T</v>
      </c>
      <c r="C58">
        <f>'2.Spieltag'!C35</f>
        <v>1</v>
      </c>
      <c r="D58" s="66">
        <f>'2.Spieltag'!D35</f>
        <v>0.4583333333333333</v>
      </c>
      <c r="E58" t="str">
        <f>'2.Spieltag'!E35</f>
        <v>A/B</v>
      </c>
      <c r="F58" t="str">
        <f>'2.Spieltag'!F35</f>
        <v>1. MKC Duisburg</v>
      </c>
      <c r="G58" t="str">
        <f>'2.Spieltag'!H35</f>
        <v>KSVH Berlin</v>
      </c>
      <c r="H58" t="str">
        <f>Saisondaten!$A$9</f>
        <v>2. Spieltag</v>
      </c>
      <c r="I58" t="str">
        <f>Saisondaten!$D$9</f>
        <v>Berne</v>
      </c>
      <c r="J58" s="67">
        <f>Saisondaten!$C$9</f>
        <v>43254</v>
      </c>
    </row>
    <row r="59" spans="1:10" ht="15">
      <c r="A59">
        <f>'2.Spieltag'!A36</f>
        <v>58</v>
      </c>
      <c r="B59" t="str">
        <f>'2.Spieltag'!B36</f>
        <v>T</v>
      </c>
      <c r="C59">
        <f>'2.Spieltag'!C36</f>
        <v>2</v>
      </c>
      <c r="D59" s="66">
        <f>'2.Spieltag'!D36</f>
        <v>0.4583333333333333</v>
      </c>
      <c r="E59" t="str">
        <f>'2.Spieltag'!E36</f>
        <v>A/B</v>
      </c>
      <c r="F59" t="str">
        <f>'2.Spieltag'!F36</f>
        <v>KC Wetter</v>
      </c>
      <c r="G59" t="str">
        <f>'2.Spieltag'!H36</f>
        <v>KSV Glauchau</v>
      </c>
      <c r="H59" t="str">
        <f>Saisondaten!$A$9</f>
        <v>2. Spieltag</v>
      </c>
      <c r="I59" t="str">
        <f>Saisondaten!$D$9</f>
        <v>Berne</v>
      </c>
      <c r="J59" s="67">
        <f>Saisondaten!$C$9</f>
        <v>43254</v>
      </c>
    </row>
    <row r="60" spans="1:10" ht="15">
      <c r="A60">
        <f>'2.Spieltag'!A37</f>
        <v>59</v>
      </c>
      <c r="B60" t="str">
        <f>'2.Spieltag'!B37</f>
        <v>T</v>
      </c>
      <c r="C60">
        <f>'2.Spieltag'!C37</f>
        <v>1</v>
      </c>
      <c r="D60" s="66">
        <f>'2.Spieltag'!D37</f>
        <v>0.4895833333333333</v>
      </c>
      <c r="E60" t="str">
        <f>'2.Spieltag'!E37</f>
        <v>A/B</v>
      </c>
      <c r="F60" t="str">
        <f>'2.Spieltag'!F37</f>
        <v>KRM Essen</v>
      </c>
      <c r="G60" t="str">
        <f>'2.Spieltag'!H37</f>
        <v>KCNW Berlin</v>
      </c>
      <c r="H60" t="str">
        <f>Saisondaten!$A$9</f>
        <v>2. Spieltag</v>
      </c>
      <c r="I60" t="str">
        <f>Saisondaten!$D$9</f>
        <v>Berne</v>
      </c>
      <c r="J60" s="67">
        <f>Saisondaten!$C$9</f>
        <v>43254</v>
      </c>
    </row>
    <row r="61" spans="1:10" ht="15">
      <c r="A61">
        <f>'2.Spieltag'!A38</f>
        <v>60</v>
      </c>
      <c r="B61" t="str">
        <f>'2.Spieltag'!B38</f>
        <v>T</v>
      </c>
      <c r="C61">
        <f>'2.Spieltag'!C38</f>
        <v>2</v>
      </c>
      <c r="D61" s="66">
        <f>'2.Spieltag'!D38</f>
        <v>0.4895833333333333</v>
      </c>
      <c r="E61" t="str">
        <f>'2.Spieltag'!E38</f>
        <v>A/B</v>
      </c>
      <c r="F61" t="str">
        <f>'2.Spieltag'!F38</f>
        <v>WSF Liblar</v>
      </c>
      <c r="G61" t="str">
        <f>'2.Spieltag'!H38</f>
        <v>ACC Hamburg</v>
      </c>
      <c r="H61" t="str">
        <f>Saisondaten!$A$9</f>
        <v>2. Spieltag</v>
      </c>
      <c r="I61" t="str">
        <f>Saisondaten!$D$9</f>
        <v>Berne</v>
      </c>
      <c r="J61" s="67">
        <f>Saisondaten!$C$9</f>
        <v>43254</v>
      </c>
    </row>
    <row r="62" spans="1:10" ht="15">
      <c r="A62">
        <f>'2.Spieltag'!A39</f>
        <v>61</v>
      </c>
      <c r="B62" t="str">
        <f>'2.Spieltag'!B39</f>
        <v>T</v>
      </c>
      <c r="C62">
        <f>'2.Spieltag'!C39</f>
        <v>1</v>
      </c>
      <c r="D62" s="66">
        <f>'2.Spieltag'!D39</f>
        <v>0.53125</v>
      </c>
      <c r="E62" t="str">
        <f>'2.Spieltag'!E39</f>
        <v>A/B</v>
      </c>
      <c r="F62" t="str">
        <f>'2.Spieltag'!F39</f>
        <v>KGW Essen</v>
      </c>
      <c r="G62" t="str">
        <f>'2.Spieltag'!H39</f>
        <v>RSV Hannover</v>
      </c>
      <c r="H62" t="str">
        <f>Saisondaten!$A$9</f>
        <v>2. Spieltag</v>
      </c>
      <c r="I62" t="str">
        <f>Saisondaten!$D$9</f>
        <v>Berne</v>
      </c>
      <c r="J62" s="67">
        <f>Saisondaten!$C$9</f>
        <v>43254</v>
      </c>
    </row>
    <row r="63" spans="1:10" ht="15">
      <c r="A63">
        <f>'2.Spieltag'!A40</f>
        <v>62</v>
      </c>
      <c r="B63" t="str">
        <f>'2.Spieltag'!B40</f>
        <v>T</v>
      </c>
      <c r="C63">
        <f>'2.Spieltag'!C40</f>
        <v>2</v>
      </c>
      <c r="D63" s="66">
        <f>'2.Spieltag'!D40</f>
        <v>0.53125</v>
      </c>
      <c r="E63" t="str">
        <f>'2.Spieltag'!E40</f>
        <v>A/B</v>
      </c>
      <c r="F63" t="str">
        <f>'2.Spieltag'!F40</f>
        <v>Göttinger PC</v>
      </c>
      <c r="G63" t="str">
        <f>'2.Spieltag'!H40</f>
        <v>VK Berlin</v>
      </c>
      <c r="H63" t="str">
        <f>Saisondaten!$A$9</f>
        <v>2. Spieltag</v>
      </c>
      <c r="I63" t="str">
        <f>Saisondaten!$D$9</f>
        <v>Berne</v>
      </c>
      <c r="J63" s="67">
        <f>Saisondaten!$C$9</f>
        <v>43254</v>
      </c>
    </row>
    <row r="64" spans="1:10" ht="15">
      <c r="A64">
        <f>'2.Spieltag'!A41</f>
        <v>63</v>
      </c>
      <c r="B64" t="str">
        <f>'2.Spieltag'!B41</f>
        <v>T</v>
      </c>
      <c r="C64">
        <f>'2.Spieltag'!C41</f>
        <v>1</v>
      </c>
      <c r="D64" s="66">
        <f>'2.Spieltag'!D41</f>
        <v>0.5625</v>
      </c>
      <c r="E64" t="str">
        <f>'2.Spieltag'!E41</f>
        <v>A/B</v>
      </c>
      <c r="F64" t="str">
        <f>'2.Spieltag'!F41</f>
        <v>1. MKC Duisburg</v>
      </c>
      <c r="G64" t="str">
        <f>'2.Spieltag'!H41</f>
        <v>KSV Glauchau</v>
      </c>
      <c r="H64" t="str">
        <f>Saisondaten!$A$9</f>
        <v>2. Spieltag</v>
      </c>
      <c r="I64" t="str">
        <f>Saisondaten!$D$9</f>
        <v>Berne</v>
      </c>
      <c r="J64" s="67">
        <f>Saisondaten!$C$9</f>
        <v>43254</v>
      </c>
    </row>
    <row r="65" spans="1:10" ht="15">
      <c r="A65">
        <f>'2.Spieltag'!A42</f>
        <v>64</v>
      </c>
      <c r="B65" t="str">
        <f>'2.Spieltag'!B42</f>
        <v>T</v>
      </c>
      <c r="C65">
        <f>'2.Spieltag'!C42</f>
        <v>2</v>
      </c>
      <c r="D65" s="66">
        <f>'2.Spieltag'!D42</f>
        <v>0.5625</v>
      </c>
      <c r="E65" t="str">
        <f>'2.Spieltag'!E42</f>
        <v>A/B</v>
      </c>
      <c r="F65" t="str">
        <f>'2.Spieltag'!F42</f>
        <v>KC Wetter</v>
      </c>
      <c r="G65" t="str">
        <f>'2.Spieltag'!H42</f>
        <v>KSVH Berlin</v>
      </c>
      <c r="H65" t="str">
        <f>Saisondaten!$A$9</f>
        <v>2. Spieltag</v>
      </c>
      <c r="I65" t="str">
        <f>Saisondaten!$D$9</f>
        <v>Berne</v>
      </c>
      <c r="J65" s="67">
        <f>Saisondaten!$C$9</f>
        <v>43254</v>
      </c>
    </row>
    <row r="66" spans="1:10" ht="15">
      <c r="A66">
        <f>'2.Spieltag'!A43</f>
        <v>65</v>
      </c>
      <c r="B66" t="str">
        <f>'2.Spieltag'!B43</f>
        <v>T</v>
      </c>
      <c r="C66">
        <f>'2.Spieltag'!C43</f>
        <v>1</v>
      </c>
      <c r="D66" s="66">
        <f>'2.Spieltag'!D43</f>
        <v>0.59375</v>
      </c>
      <c r="E66" t="str">
        <f>'2.Spieltag'!E43</f>
        <v>A/B</v>
      </c>
      <c r="F66" t="str">
        <f>'2.Spieltag'!F43</f>
        <v>WSF Liblar</v>
      </c>
      <c r="G66" t="str">
        <f>'2.Spieltag'!H43</f>
        <v>KCNW Berlin</v>
      </c>
      <c r="H66" t="str">
        <f>Saisondaten!$A$9</f>
        <v>2. Spieltag</v>
      </c>
      <c r="I66" t="str">
        <f>Saisondaten!$D$9</f>
        <v>Berne</v>
      </c>
      <c r="J66" s="67">
        <f>Saisondaten!$C$9</f>
        <v>43254</v>
      </c>
    </row>
    <row r="67" spans="1:10" ht="15">
      <c r="A67">
        <f>'2.Spieltag'!A44</f>
        <v>66</v>
      </c>
      <c r="B67" t="str">
        <f>'2.Spieltag'!B44</f>
        <v>T</v>
      </c>
      <c r="C67">
        <f>'2.Spieltag'!C44</f>
        <v>2</v>
      </c>
      <c r="D67" s="66">
        <f>'2.Spieltag'!D44</f>
        <v>0.59375</v>
      </c>
      <c r="E67" t="str">
        <f>'2.Spieltag'!E44</f>
        <v>A/B</v>
      </c>
      <c r="F67" t="str">
        <f>'2.Spieltag'!F44</f>
        <v>KRM Essen</v>
      </c>
      <c r="G67" t="str">
        <f>'2.Spieltag'!H44</f>
        <v>ACC Hamburg</v>
      </c>
      <c r="H67" t="str">
        <f>Saisondaten!$A$9</f>
        <v>2. Spieltag</v>
      </c>
      <c r="I67" t="str">
        <f>Saisondaten!$D$9</f>
        <v>Berne</v>
      </c>
      <c r="J67" s="67">
        <f>Saisondaten!$C$9</f>
        <v>43254</v>
      </c>
    </row>
    <row r="68" spans="1:10" ht="15">
      <c r="A68">
        <f>'3.Spieltag'!A7</f>
        <v>67</v>
      </c>
      <c r="B68" t="str">
        <f>'3.Spieltag'!B7</f>
        <v>T</v>
      </c>
      <c r="C68">
        <f>'3.Spieltag'!C7</f>
        <v>1</v>
      </c>
      <c r="D68" s="66">
        <f>'3.Spieltag'!D7</f>
        <v>0.4166666666666667</v>
      </c>
      <c r="E68" t="str">
        <f>'3.Spieltag'!E7</f>
        <v>A</v>
      </c>
      <c r="F68" t="str">
        <f>'3.Spieltag'!F7</f>
        <v>KRM Essen</v>
      </c>
      <c r="G68" t="str">
        <f>'3.Spieltag'!H7</f>
        <v>KC Wetter</v>
      </c>
      <c r="H68" t="str">
        <f>Saisondaten!$A$10</f>
        <v>3. Spieltag</v>
      </c>
      <c r="I68" t="str">
        <f>Saisondaten!$D$10</f>
        <v>Göttingen</v>
      </c>
      <c r="J68" s="67">
        <f>Saisondaten!$B$10</f>
        <v>43281</v>
      </c>
    </row>
    <row r="69" spans="1:10" ht="15">
      <c r="A69">
        <f>'3.Spieltag'!A8</f>
        <v>68</v>
      </c>
      <c r="B69" t="str">
        <f>'3.Spieltag'!B8</f>
        <v>T</v>
      </c>
      <c r="C69">
        <f>'3.Spieltag'!C8</f>
        <v>1</v>
      </c>
      <c r="D69" s="66">
        <f>'3.Spieltag'!D8</f>
        <v>0.4479166666666667</v>
      </c>
      <c r="E69" t="str">
        <f>'3.Spieltag'!E8</f>
        <v>A</v>
      </c>
      <c r="F69" t="str">
        <f>'3.Spieltag'!F8</f>
        <v>1. MKC Duisburg</v>
      </c>
      <c r="G69" t="str">
        <f>'3.Spieltag'!H8</f>
        <v>Göttinger PC</v>
      </c>
      <c r="H69" t="str">
        <f>Saisondaten!$A$10</f>
        <v>3. Spieltag</v>
      </c>
      <c r="I69" t="str">
        <f>Saisondaten!$D$10</f>
        <v>Göttingen</v>
      </c>
      <c r="J69" s="67">
        <f>Saisondaten!$B$10</f>
        <v>43281</v>
      </c>
    </row>
    <row r="70" spans="1:10" ht="15">
      <c r="A70">
        <f>'3.Spieltag'!A9</f>
        <v>69</v>
      </c>
      <c r="B70" t="str">
        <f>'3.Spieltag'!B9</f>
        <v>T</v>
      </c>
      <c r="C70">
        <f>'3.Spieltag'!C9</f>
        <v>1</v>
      </c>
      <c r="D70" s="66">
        <f>'3.Spieltag'!D9</f>
        <v>0.4791666666666667</v>
      </c>
      <c r="E70" t="str">
        <f>'3.Spieltag'!E9</f>
        <v>A</v>
      </c>
      <c r="F70" t="str">
        <f>'3.Spieltag'!F9</f>
        <v>WSF Liblar</v>
      </c>
      <c r="G70" t="str">
        <f>'3.Spieltag'!H9</f>
        <v>KGW Essen</v>
      </c>
      <c r="H70" t="str">
        <f>Saisondaten!$A$10</f>
        <v>3. Spieltag</v>
      </c>
      <c r="I70" t="str">
        <f>Saisondaten!$D$10</f>
        <v>Göttingen</v>
      </c>
      <c r="J70" s="67">
        <f>Saisondaten!$B$10</f>
        <v>43281</v>
      </c>
    </row>
    <row r="71" spans="1:10" ht="15">
      <c r="A71">
        <f>'3.Spieltag'!A10</f>
        <v>70</v>
      </c>
      <c r="B71" t="str">
        <f>'3.Spieltag'!B10</f>
        <v>T</v>
      </c>
      <c r="C71">
        <f>'3.Spieltag'!C10</f>
        <v>1</v>
      </c>
      <c r="D71" s="66">
        <f>'3.Spieltag'!D10</f>
        <v>0.53125</v>
      </c>
      <c r="E71" t="str">
        <f>'3.Spieltag'!E10</f>
        <v>A</v>
      </c>
      <c r="F71" t="str">
        <f>'3.Spieltag'!F10</f>
        <v>1. MKC Duisburg</v>
      </c>
      <c r="G71" t="str">
        <f>'3.Spieltag'!H10</f>
        <v>KC Wetter</v>
      </c>
      <c r="H71" t="str">
        <f>Saisondaten!$A$10</f>
        <v>3. Spieltag</v>
      </c>
      <c r="I71" t="str">
        <f>Saisondaten!$D$10</f>
        <v>Göttingen</v>
      </c>
      <c r="J71" s="67">
        <f>Saisondaten!$B$10</f>
        <v>43281</v>
      </c>
    </row>
    <row r="72" spans="1:10" ht="15">
      <c r="A72">
        <f>'3.Spieltag'!A11</f>
        <v>71</v>
      </c>
      <c r="B72" t="str">
        <f>'3.Spieltag'!B11</f>
        <v>T</v>
      </c>
      <c r="C72">
        <f>'3.Spieltag'!C11</f>
        <v>1</v>
      </c>
      <c r="D72" s="66">
        <f>'3.Spieltag'!D11</f>
        <v>0.5625</v>
      </c>
      <c r="E72" t="str">
        <f>'3.Spieltag'!E11</f>
        <v>A</v>
      </c>
      <c r="F72" t="str">
        <f>'3.Spieltag'!F11</f>
        <v>KRM Essen</v>
      </c>
      <c r="G72" t="str">
        <f>'3.Spieltag'!H11</f>
        <v>KGW Essen</v>
      </c>
      <c r="H72" t="str">
        <f>Saisondaten!$A$10</f>
        <v>3. Spieltag</v>
      </c>
      <c r="I72" t="str">
        <f>Saisondaten!$D$10</f>
        <v>Göttingen</v>
      </c>
      <c r="J72" s="67">
        <f>Saisondaten!$B$10</f>
        <v>43281</v>
      </c>
    </row>
    <row r="73" spans="1:10" ht="15">
      <c r="A73">
        <f>'3.Spieltag'!A12</f>
        <v>72</v>
      </c>
      <c r="B73" t="str">
        <f>'3.Spieltag'!B12</f>
        <v>T</v>
      </c>
      <c r="C73">
        <f>'3.Spieltag'!C12</f>
        <v>1</v>
      </c>
      <c r="D73" s="66">
        <f>'3.Spieltag'!D12</f>
        <v>0.59375</v>
      </c>
      <c r="E73" t="str">
        <f>'3.Spieltag'!E12</f>
        <v>A</v>
      </c>
      <c r="F73" t="str">
        <f>'3.Spieltag'!F12</f>
        <v>WSF Liblar</v>
      </c>
      <c r="G73" t="str">
        <f>'3.Spieltag'!H12</f>
        <v>Göttinger PC</v>
      </c>
      <c r="H73" t="str">
        <f>Saisondaten!$A$10</f>
        <v>3. Spieltag</v>
      </c>
      <c r="I73" t="str">
        <f>Saisondaten!$D$10</f>
        <v>Göttingen</v>
      </c>
      <c r="J73" s="67">
        <f>Saisondaten!$B$10</f>
        <v>43281</v>
      </c>
    </row>
    <row r="74" spans="1:10" ht="15">
      <c r="A74">
        <f>'3.Spieltag'!A13</f>
        <v>73</v>
      </c>
      <c r="B74" t="str">
        <f>'3.Spieltag'!B13</f>
        <v>T</v>
      </c>
      <c r="C74">
        <f>'3.Spieltag'!C13</f>
        <v>1</v>
      </c>
      <c r="D74" s="66">
        <f>'3.Spieltag'!D13</f>
        <v>0.6458333333333334</v>
      </c>
      <c r="E74" t="str">
        <f>'3.Spieltag'!E13</f>
        <v>A</v>
      </c>
      <c r="F74" t="str">
        <f>'3.Spieltag'!F13</f>
        <v>KRM Essen</v>
      </c>
      <c r="G74" t="str">
        <f>'3.Spieltag'!H13</f>
        <v>1. MKC Duisburg</v>
      </c>
      <c r="H74" t="str">
        <f>Saisondaten!$A$10</f>
        <v>3. Spieltag</v>
      </c>
      <c r="I74" t="str">
        <f>Saisondaten!$D$10</f>
        <v>Göttingen</v>
      </c>
      <c r="J74" s="67">
        <f>Saisondaten!$B$10</f>
        <v>43281</v>
      </c>
    </row>
    <row r="75" spans="1:10" ht="15">
      <c r="A75">
        <f>'3.Spieltag'!A14</f>
        <v>74</v>
      </c>
      <c r="B75" t="str">
        <f>'3.Spieltag'!B14</f>
        <v>T</v>
      </c>
      <c r="C75">
        <f>'3.Spieltag'!C14</f>
        <v>1</v>
      </c>
      <c r="D75" s="66">
        <f>'3.Spieltag'!D14</f>
        <v>0.6770833333333334</v>
      </c>
      <c r="E75" t="str">
        <f>'3.Spieltag'!E14</f>
        <v>A</v>
      </c>
      <c r="F75" t="str">
        <f>'3.Spieltag'!F14</f>
        <v>WSF Liblar</v>
      </c>
      <c r="G75" t="str">
        <f>'3.Spieltag'!H14</f>
        <v>KC Wetter</v>
      </c>
      <c r="H75" t="str">
        <f>Saisondaten!$A$10</f>
        <v>3. Spieltag</v>
      </c>
      <c r="I75" t="str">
        <f>Saisondaten!$D$10</f>
        <v>Göttingen</v>
      </c>
      <c r="J75" s="67">
        <f>Saisondaten!$B$10</f>
        <v>43281</v>
      </c>
    </row>
    <row r="76" spans="1:10" ht="15">
      <c r="A76">
        <f>'3.Spieltag'!A15</f>
        <v>75</v>
      </c>
      <c r="B76" t="str">
        <f>'3.Spieltag'!B15</f>
        <v>T</v>
      </c>
      <c r="C76">
        <f>'3.Spieltag'!C15</f>
        <v>1</v>
      </c>
      <c r="D76" s="66">
        <f>'3.Spieltag'!D15</f>
        <v>0.7083333333333334</v>
      </c>
      <c r="E76" t="str">
        <f>'3.Spieltag'!E15</f>
        <v>A</v>
      </c>
      <c r="F76" t="str">
        <f>'3.Spieltag'!F15</f>
        <v>KGW Essen</v>
      </c>
      <c r="G76" t="str">
        <f>'3.Spieltag'!H15</f>
        <v>Göttinger PC</v>
      </c>
      <c r="H76" t="str">
        <f>Saisondaten!$A$10</f>
        <v>3. Spieltag</v>
      </c>
      <c r="I76" t="str">
        <f>Saisondaten!$D$10</f>
        <v>Göttingen</v>
      </c>
      <c r="J76" s="67">
        <f>Saisondaten!$B$10</f>
        <v>43281</v>
      </c>
    </row>
    <row r="77" spans="1:10" ht="15">
      <c r="A77">
        <f>'3.Spieltag'!A18</f>
        <v>76</v>
      </c>
      <c r="B77" t="str">
        <f>'3.Spieltag'!B18</f>
        <v>T</v>
      </c>
      <c r="C77">
        <f>'3.Spieltag'!C18</f>
        <v>1</v>
      </c>
      <c r="D77" s="66">
        <f>'3.Spieltag'!D18</f>
        <v>0.4166666666666667</v>
      </c>
      <c r="E77" t="str">
        <f>'3.Spieltag'!E18</f>
        <v>A</v>
      </c>
      <c r="F77" t="str">
        <f>'3.Spieltag'!F18</f>
        <v>KGW Essen</v>
      </c>
      <c r="G77" t="str">
        <f>'3.Spieltag'!H18</f>
        <v>KC Wetter</v>
      </c>
      <c r="H77" t="str">
        <f>Saisondaten!$A$10</f>
        <v>3. Spieltag</v>
      </c>
      <c r="I77" t="str">
        <f>Saisondaten!$D$10</f>
        <v>Göttingen</v>
      </c>
      <c r="J77" s="67">
        <f>Saisondaten!$C$10</f>
        <v>43282</v>
      </c>
    </row>
    <row r="78" spans="1:10" ht="15">
      <c r="A78">
        <f>'3.Spieltag'!A19</f>
        <v>77</v>
      </c>
      <c r="B78" t="str">
        <f>'3.Spieltag'!B19</f>
        <v>T</v>
      </c>
      <c r="C78">
        <f>'3.Spieltag'!C19</f>
        <v>1</v>
      </c>
      <c r="D78" s="66">
        <f>'3.Spieltag'!D19</f>
        <v>0.4479166666666667</v>
      </c>
      <c r="E78" t="str">
        <f>'3.Spieltag'!E19</f>
        <v>A</v>
      </c>
      <c r="F78" t="str">
        <f>'3.Spieltag'!F19</f>
        <v>KRM Essen</v>
      </c>
      <c r="G78" t="str">
        <f>'3.Spieltag'!H19</f>
        <v>Göttinger PC</v>
      </c>
      <c r="H78" t="str">
        <f>Saisondaten!$A$10</f>
        <v>3. Spieltag</v>
      </c>
      <c r="I78" t="str">
        <f>Saisondaten!$D$10</f>
        <v>Göttingen</v>
      </c>
      <c r="J78" s="67">
        <f>Saisondaten!$C$10</f>
        <v>43282</v>
      </c>
    </row>
    <row r="79" spans="1:10" ht="15">
      <c r="A79">
        <f>'3.Spieltag'!A20</f>
        <v>78</v>
      </c>
      <c r="B79" t="str">
        <f>'3.Spieltag'!B20</f>
        <v>T</v>
      </c>
      <c r="C79">
        <f>'3.Spieltag'!C20</f>
        <v>1</v>
      </c>
      <c r="D79" s="66">
        <f>'3.Spieltag'!D20</f>
        <v>0.4791666666666667</v>
      </c>
      <c r="E79" t="str">
        <f>'3.Spieltag'!E20</f>
        <v>A</v>
      </c>
      <c r="F79" t="str">
        <f>'3.Spieltag'!F20</f>
        <v>WSF Liblar</v>
      </c>
      <c r="G79" t="str">
        <f>'3.Spieltag'!H20</f>
        <v>1. MKC Duisburg</v>
      </c>
      <c r="H79" t="str">
        <f>Saisondaten!$A$10</f>
        <v>3. Spieltag</v>
      </c>
      <c r="I79" t="str">
        <f>Saisondaten!$D$10</f>
        <v>Göttingen</v>
      </c>
      <c r="J79" s="67">
        <f>Saisondaten!$C$10</f>
        <v>43282</v>
      </c>
    </row>
    <row r="80" spans="1:10" ht="15">
      <c r="A80">
        <f>'3.Spieltag'!A21</f>
        <v>79</v>
      </c>
      <c r="B80" t="str">
        <f>'3.Spieltag'!B21</f>
        <v>T</v>
      </c>
      <c r="C80">
        <f>'3.Spieltag'!C21</f>
        <v>1</v>
      </c>
      <c r="D80" s="66">
        <f>'3.Spieltag'!D21</f>
        <v>0.5208333333333334</v>
      </c>
      <c r="E80" t="str">
        <f>'3.Spieltag'!E21</f>
        <v>A</v>
      </c>
      <c r="F80" t="str">
        <f>'3.Spieltag'!F21</f>
        <v>KC Wetter</v>
      </c>
      <c r="G80" t="str">
        <f>'3.Spieltag'!H21</f>
        <v>Göttinger PC</v>
      </c>
      <c r="H80" t="str">
        <f>Saisondaten!$A$10</f>
        <v>3. Spieltag</v>
      </c>
      <c r="I80" t="str">
        <f>Saisondaten!$D$10</f>
        <v>Göttingen</v>
      </c>
      <c r="J80" s="67">
        <f>Saisondaten!$C$10</f>
        <v>43282</v>
      </c>
    </row>
    <row r="81" spans="1:10" ht="15">
      <c r="A81">
        <f>'3.Spieltag'!A22</f>
        <v>80</v>
      </c>
      <c r="B81" t="str">
        <f>'3.Spieltag'!B22</f>
        <v>T</v>
      </c>
      <c r="C81">
        <f>'3.Spieltag'!C22</f>
        <v>1</v>
      </c>
      <c r="D81" s="66">
        <f>'3.Spieltag'!D22</f>
        <v>0.5520833333333334</v>
      </c>
      <c r="E81" t="str">
        <f>'3.Spieltag'!E22</f>
        <v>A</v>
      </c>
      <c r="F81" t="str">
        <f>'3.Spieltag'!F22</f>
        <v>1. MKC Duisburg</v>
      </c>
      <c r="G81" t="str">
        <f>'3.Spieltag'!H22</f>
        <v>KGW Essen</v>
      </c>
      <c r="H81" t="str">
        <f>Saisondaten!$A$10</f>
        <v>3. Spieltag</v>
      </c>
      <c r="I81" t="str">
        <f>Saisondaten!$D$10</f>
        <v>Göttingen</v>
      </c>
      <c r="J81" s="67">
        <f>Saisondaten!$C$10</f>
        <v>43282</v>
      </c>
    </row>
    <row r="82" spans="1:10" ht="15">
      <c r="A82">
        <f>'3.Spieltag'!A23</f>
        <v>81</v>
      </c>
      <c r="B82" t="str">
        <f>'3.Spieltag'!B23</f>
        <v>T</v>
      </c>
      <c r="C82">
        <f>'3.Spieltag'!C23</f>
        <v>1</v>
      </c>
      <c r="D82" s="66">
        <f>'3.Spieltag'!D23</f>
        <v>0.5833333333333334</v>
      </c>
      <c r="E82" t="str">
        <f>'3.Spieltag'!E23</f>
        <v>A</v>
      </c>
      <c r="F82" t="str">
        <f>'3.Spieltag'!F23</f>
        <v>KRM Essen</v>
      </c>
      <c r="G82" t="str">
        <f>'3.Spieltag'!H23</f>
        <v>WSF Liblar</v>
      </c>
      <c r="H82" t="str">
        <f>Saisondaten!$A$10</f>
        <v>3. Spieltag</v>
      </c>
      <c r="I82" t="str">
        <f>Saisondaten!$D$10</f>
        <v>Göttingen</v>
      </c>
      <c r="J82" s="67">
        <f>Saisondaten!$C$10</f>
        <v>43282</v>
      </c>
    </row>
    <row r="83" spans="1:10" ht="15">
      <c r="A83">
        <f>'3.Spieltag'!A29</f>
        <v>82</v>
      </c>
      <c r="B83" t="str">
        <f>'3.Spieltag'!B29</f>
        <v>T</v>
      </c>
      <c r="C83">
        <f>'3.Spieltag'!C29</f>
        <v>1</v>
      </c>
      <c r="D83" s="66">
        <f>'3.Spieltag'!D29</f>
        <v>0.4166666666666667</v>
      </c>
      <c r="E83" t="str">
        <f>'3.Spieltag'!E29</f>
        <v>B</v>
      </c>
      <c r="F83" t="str">
        <f>'3.Spieltag'!F29</f>
        <v>RSV Hannover</v>
      </c>
      <c r="G83" t="str">
        <f>'3.Spieltag'!H29</f>
        <v>VK Berlin</v>
      </c>
      <c r="H83" t="str">
        <f>Saisondaten!$A$10</f>
        <v>3. Spieltag</v>
      </c>
      <c r="I83" t="str">
        <f>Saisondaten!$E$10</f>
        <v>Hamburg</v>
      </c>
      <c r="J83" s="67">
        <f>Saisondaten!$B$10</f>
        <v>43281</v>
      </c>
    </row>
    <row r="84" spans="1:10" ht="15">
      <c r="A84">
        <f>'3.Spieltag'!A30</f>
        <v>83</v>
      </c>
      <c r="B84" t="str">
        <f>'3.Spieltag'!B30</f>
        <v>T</v>
      </c>
      <c r="C84">
        <f>'3.Spieltag'!C30</f>
        <v>1</v>
      </c>
      <c r="D84" s="66">
        <f>'3.Spieltag'!D30</f>
        <v>0.4479166666666667</v>
      </c>
      <c r="E84" t="str">
        <f>'3.Spieltag'!E30</f>
        <v>B</v>
      </c>
      <c r="F84" t="str">
        <f>'3.Spieltag'!F30</f>
        <v>KCNW Berlin</v>
      </c>
      <c r="G84" t="str">
        <f>'3.Spieltag'!H30</f>
        <v>KSV Glauchau</v>
      </c>
      <c r="H84" t="str">
        <f>Saisondaten!$A$10</f>
        <v>3. Spieltag</v>
      </c>
      <c r="I84" t="str">
        <f>Saisondaten!$E$10</f>
        <v>Hamburg</v>
      </c>
      <c r="J84" s="67">
        <f>Saisondaten!$B$10</f>
        <v>43281</v>
      </c>
    </row>
    <row r="85" spans="1:10" ht="15">
      <c r="A85">
        <f>'3.Spieltag'!A31</f>
        <v>84</v>
      </c>
      <c r="B85" t="str">
        <f>'3.Spieltag'!B31</f>
        <v>T</v>
      </c>
      <c r="C85">
        <f>'3.Spieltag'!C31</f>
        <v>1</v>
      </c>
      <c r="D85" s="66">
        <f>'3.Spieltag'!D31</f>
        <v>0.4791666666666667</v>
      </c>
      <c r="E85" t="str">
        <f>'3.Spieltag'!E31</f>
        <v>B</v>
      </c>
      <c r="F85" t="str">
        <f>'3.Spieltag'!F31</f>
        <v>ACC Hamburg</v>
      </c>
      <c r="G85" t="str">
        <f>'3.Spieltag'!H31</f>
        <v>KSVH Berlin</v>
      </c>
      <c r="H85" t="str">
        <f>Saisondaten!$A$10</f>
        <v>3. Spieltag</v>
      </c>
      <c r="I85" t="str">
        <f>Saisondaten!$E$10</f>
        <v>Hamburg</v>
      </c>
      <c r="J85" s="67">
        <f>Saisondaten!$B$10</f>
        <v>43281</v>
      </c>
    </row>
    <row r="86" spans="1:10" ht="15">
      <c r="A86">
        <f>'3.Spieltag'!A32</f>
        <v>85</v>
      </c>
      <c r="B86" t="str">
        <f>'3.Spieltag'!B32</f>
        <v>T</v>
      </c>
      <c r="C86">
        <f>'3.Spieltag'!C32</f>
        <v>1</v>
      </c>
      <c r="D86" s="66">
        <f>'3.Spieltag'!D32</f>
        <v>0.53125</v>
      </c>
      <c r="E86" t="str">
        <f>'3.Spieltag'!E32</f>
        <v>B</v>
      </c>
      <c r="F86" t="str">
        <f>'3.Spieltag'!F32</f>
        <v>KCNW Berlin</v>
      </c>
      <c r="G86" t="str">
        <f>'3.Spieltag'!H32</f>
        <v>VK Berlin</v>
      </c>
      <c r="H86" t="str">
        <f>Saisondaten!$A$10</f>
        <v>3. Spieltag</v>
      </c>
      <c r="I86" t="str">
        <f>Saisondaten!$E$10</f>
        <v>Hamburg</v>
      </c>
      <c r="J86" s="67">
        <f>Saisondaten!$B$10</f>
        <v>43281</v>
      </c>
    </row>
    <row r="87" spans="1:10" ht="15">
      <c r="A87">
        <f>'3.Spieltag'!A33</f>
        <v>86</v>
      </c>
      <c r="B87" t="str">
        <f>'3.Spieltag'!B33</f>
        <v>T</v>
      </c>
      <c r="C87">
        <f>'3.Spieltag'!C33</f>
        <v>1</v>
      </c>
      <c r="D87" s="66">
        <f>'3.Spieltag'!D33</f>
        <v>0.5625</v>
      </c>
      <c r="E87" t="str">
        <f>'3.Spieltag'!E33</f>
        <v>B</v>
      </c>
      <c r="F87" t="str">
        <f>'3.Spieltag'!F33</f>
        <v>RSV Hannover</v>
      </c>
      <c r="G87" t="str">
        <f>'3.Spieltag'!H33</f>
        <v>KSVH Berlin</v>
      </c>
      <c r="H87" t="str">
        <f>Saisondaten!$A$10</f>
        <v>3. Spieltag</v>
      </c>
      <c r="I87" t="str">
        <f>Saisondaten!$E$10</f>
        <v>Hamburg</v>
      </c>
      <c r="J87" s="67">
        <f>Saisondaten!$B$10</f>
        <v>43281</v>
      </c>
    </row>
    <row r="88" spans="1:10" ht="15">
      <c r="A88">
        <f>'3.Spieltag'!A34</f>
        <v>87</v>
      </c>
      <c r="B88" t="str">
        <f>'3.Spieltag'!B34</f>
        <v>T</v>
      </c>
      <c r="C88">
        <f>'3.Spieltag'!C34</f>
        <v>1</v>
      </c>
      <c r="D88" s="66">
        <f>'3.Spieltag'!D34</f>
        <v>0.59375</v>
      </c>
      <c r="E88" t="str">
        <f>'3.Spieltag'!E34</f>
        <v>B</v>
      </c>
      <c r="F88" t="str">
        <f>'3.Spieltag'!F34</f>
        <v>ACC Hamburg</v>
      </c>
      <c r="G88" t="str">
        <f>'3.Spieltag'!H34</f>
        <v>KSV Glauchau</v>
      </c>
      <c r="H88" t="str">
        <f>Saisondaten!$A$10</f>
        <v>3. Spieltag</v>
      </c>
      <c r="I88" t="str">
        <f>Saisondaten!$E$10</f>
        <v>Hamburg</v>
      </c>
      <c r="J88" s="67">
        <f>Saisondaten!$B$10</f>
        <v>43281</v>
      </c>
    </row>
    <row r="89" spans="1:10" ht="15">
      <c r="A89">
        <f>'3.Spieltag'!A35</f>
        <v>88</v>
      </c>
      <c r="B89" t="str">
        <f>'3.Spieltag'!B35</f>
        <v>T</v>
      </c>
      <c r="C89">
        <f>'3.Spieltag'!C35</f>
        <v>1</v>
      </c>
      <c r="D89" s="66">
        <f>'3.Spieltag'!D35</f>
        <v>0.6458333333333334</v>
      </c>
      <c r="E89" t="str">
        <f>'3.Spieltag'!E35</f>
        <v>B</v>
      </c>
      <c r="F89" t="str">
        <f>'3.Spieltag'!F35</f>
        <v>RSV Hannover</v>
      </c>
      <c r="G89" t="str">
        <f>'3.Spieltag'!H35</f>
        <v>KCNW Berlin</v>
      </c>
      <c r="H89" t="str">
        <f>Saisondaten!$A$10</f>
        <v>3. Spieltag</v>
      </c>
      <c r="I89" t="str">
        <f>Saisondaten!$E$10</f>
        <v>Hamburg</v>
      </c>
      <c r="J89" s="67">
        <f>Saisondaten!$B$10</f>
        <v>43281</v>
      </c>
    </row>
    <row r="90" spans="1:10" ht="15">
      <c r="A90">
        <f>'3.Spieltag'!A36</f>
        <v>89</v>
      </c>
      <c r="B90" t="str">
        <f>'3.Spieltag'!B36</f>
        <v>T</v>
      </c>
      <c r="C90">
        <f>'3.Spieltag'!C36</f>
        <v>1</v>
      </c>
      <c r="D90" s="66">
        <f>'3.Spieltag'!D36</f>
        <v>0.6770833333333334</v>
      </c>
      <c r="E90" t="str">
        <f>'3.Spieltag'!E36</f>
        <v>B</v>
      </c>
      <c r="F90" t="str">
        <f>'3.Spieltag'!F36</f>
        <v>ACC Hamburg</v>
      </c>
      <c r="G90" t="str">
        <f>'3.Spieltag'!H36</f>
        <v>VK Berlin</v>
      </c>
      <c r="H90" t="str">
        <f>Saisondaten!$A$10</f>
        <v>3. Spieltag</v>
      </c>
      <c r="I90" t="str">
        <f>Saisondaten!$E$10</f>
        <v>Hamburg</v>
      </c>
      <c r="J90" s="67">
        <f>Saisondaten!$B$10</f>
        <v>43281</v>
      </c>
    </row>
    <row r="91" spans="1:10" ht="15">
      <c r="A91">
        <f>'3.Spieltag'!A37</f>
        <v>90</v>
      </c>
      <c r="B91" t="str">
        <f>'3.Spieltag'!B37</f>
        <v>T</v>
      </c>
      <c r="C91">
        <f>'3.Spieltag'!C37</f>
        <v>1</v>
      </c>
      <c r="D91" s="66">
        <f>'3.Spieltag'!D37</f>
        <v>0.7083333333333334</v>
      </c>
      <c r="E91" t="str">
        <f>'3.Spieltag'!E37</f>
        <v>B</v>
      </c>
      <c r="F91" t="str">
        <f>'3.Spieltag'!F37</f>
        <v>KSVH Berlin</v>
      </c>
      <c r="G91" t="str">
        <f>'3.Spieltag'!H37</f>
        <v>KSV Glauchau</v>
      </c>
      <c r="H91" t="str">
        <f>Saisondaten!$A$10</f>
        <v>3. Spieltag</v>
      </c>
      <c r="I91" t="str">
        <f>Saisondaten!$E$10</f>
        <v>Hamburg</v>
      </c>
      <c r="J91" s="67">
        <f>Saisondaten!$B$10</f>
        <v>43281</v>
      </c>
    </row>
    <row r="92" spans="1:10" ht="15">
      <c r="A92">
        <f>'3.Spieltag'!A40</f>
        <v>91</v>
      </c>
      <c r="B92" t="str">
        <f>'3.Spieltag'!B40</f>
        <v>T</v>
      </c>
      <c r="C92">
        <f>'3.Spieltag'!C40</f>
        <v>1</v>
      </c>
      <c r="D92" s="66">
        <f>'3.Spieltag'!D40</f>
        <v>0.4166666666666667</v>
      </c>
      <c r="E92" t="str">
        <f>'3.Spieltag'!E40</f>
        <v>B</v>
      </c>
      <c r="F92" t="str">
        <f>'3.Spieltag'!F40</f>
        <v>KSVH Berlin</v>
      </c>
      <c r="G92" t="str">
        <f>'3.Spieltag'!H40</f>
        <v>VK Berlin</v>
      </c>
      <c r="H92" t="str">
        <f>Saisondaten!$A$10</f>
        <v>3. Spieltag</v>
      </c>
      <c r="I92" t="str">
        <f>Saisondaten!$E$10</f>
        <v>Hamburg</v>
      </c>
      <c r="J92" s="67">
        <f>Saisondaten!$C$10</f>
        <v>43282</v>
      </c>
    </row>
    <row r="93" spans="1:10" ht="15">
      <c r="A93">
        <f>'3.Spieltag'!A41</f>
        <v>92</v>
      </c>
      <c r="B93" t="str">
        <f>'3.Spieltag'!B41</f>
        <v>T</v>
      </c>
      <c r="C93">
        <f>'3.Spieltag'!C41</f>
        <v>1</v>
      </c>
      <c r="D93" s="66">
        <f>'3.Spieltag'!D41</f>
        <v>0.4479166666666667</v>
      </c>
      <c r="E93" t="str">
        <f>'3.Spieltag'!E41</f>
        <v>B</v>
      </c>
      <c r="F93" t="str">
        <f>'3.Spieltag'!F41</f>
        <v>RSV Hannover</v>
      </c>
      <c r="G93" t="str">
        <f>'3.Spieltag'!H41</f>
        <v>KSV Glauchau</v>
      </c>
      <c r="H93" t="str">
        <f>Saisondaten!$A$10</f>
        <v>3. Spieltag</v>
      </c>
      <c r="I93" t="str">
        <f>Saisondaten!$E$10</f>
        <v>Hamburg</v>
      </c>
      <c r="J93" s="67">
        <f>Saisondaten!$C$10</f>
        <v>43282</v>
      </c>
    </row>
    <row r="94" spans="1:10" ht="15">
      <c r="A94">
        <f>'3.Spieltag'!A42</f>
        <v>93</v>
      </c>
      <c r="B94" t="str">
        <f>'3.Spieltag'!B42</f>
        <v>T</v>
      </c>
      <c r="C94">
        <f>'3.Spieltag'!C42</f>
        <v>1</v>
      </c>
      <c r="D94" s="66">
        <f>'3.Spieltag'!D42</f>
        <v>0.4791666666666667</v>
      </c>
      <c r="E94" t="str">
        <f>'3.Spieltag'!E42</f>
        <v>B</v>
      </c>
      <c r="F94" t="str">
        <f>'3.Spieltag'!F42</f>
        <v>ACC Hamburg</v>
      </c>
      <c r="G94" t="str">
        <f>'3.Spieltag'!H42</f>
        <v>KCNW Berlin</v>
      </c>
      <c r="H94" t="str">
        <f>Saisondaten!$A$10</f>
        <v>3. Spieltag</v>
      </c>
      <c r="I94" t="str">
        <f>Saisondaten!$E$10</f>
        <v>Hamburg</v>
      </c>
      <c r="J94" s="67">
        <f>Saisondaten!$C$10</f>
        <v>43282</v>
      </c>
    </row>
    <row r="95" spans="1:10" ht="15">
      <c r="A95">
        <f>'3.Spieltag'!A43</f>
        <v>94</v>
      </c>
      <c r="B95" t="str">
        <f>'3.Spieltag'!B43</f>
        <v>T</v>
      </c>
      <c r="C95">
        <f>'3.Spieltag'!C43</f>
        <v>1</v>
      </c>
      <c r="D95" s="66">
        <f>'3.Spieltag'!D43</f>
        <v>0.5208333333333334</v>
      </c>
      <c r="E95" t="str">
        <f>'3.Spieltag'!E43</f>
        <v>B</v>
      </c>
      <c r="F95" t="str">
        <f>'3.Spieltag'!F43</f>
        <v>VK Berlin</v>
      </c>
      <c r="G95" t="str">
        <f>'3.Spieltag'!H43</f>
        <v>KSV Glauchau</v>
      </c>
      <c r="H95" t="str">
        <f>Saisondaten!$A$10</f>
        <v>3. Spieltag</v>
      </c>
      <c r="I95" t="str">
        <f>Saisondaten!$E$10</f>
        <v>Hamburg</v>
      </c>
      <c r="J95" s="67">
        <f>Saisondaten!$C$10</f>
        <v>43282</v>
      </c>
    </row>
    <row r="96" spans="1:10" ht="15">
      <c r="A96">
        <f>'3.Spieltag'!A44</f>
        <v>95</v>
      </c>
      <c r="B96" t="str">
        <f>'3.Spieltag'!B44</f>
        <v>T</v>
      </c>
      <c r="C96">
        <f>'3.Spieltag'!C44</f>
        <v>1</v>
      </c>
      <c r="D96" s="66">
        <f>'3.Spieltag'!D44</f>
        <v>0.5520833333333334</v>
      </c>
      <c r="E96" t="str">
        <f>'3.Spieltag'!E44</f>
        <v>B</v>
      </c>
      <c r="F96" t="str">
        <f>'3.Spieltag'!F44</f>
        <v>KCNW Berlin</v>
      </c>
      <c r="G96" t="str">
        <f>'3.Spieltag'!H44</f>
        <v>KSVH Berlin</v>
      </c>
      <c r="H96" t="str">
        <f>Saisondaten!$A$10</f>
        <v>3. Spieltag</v>
      </c>
      <c r="I96" t="str">
        <f>Saisondaten!$E$10</f>
        <v>Hamburg</v>
      </c>
      <c r="J96" s="67">
        <f>Saisondaten!$C$10</f>
        <v>43282</v>
      </c>
    </row>
    <row r="97" spans="1:10" ht="15">
      <c r="A97">
        <f>'3.Spieltag'!A45</f>
        <v>96</v>
      </c>
      <c r="B97" t="str">
        <f>'3.Spieltag'!B45</f>
        <v>T</v>
      </c>
      <c r="C97">
        <f>'3.Spieltag'!C45</f>
        <v>1</v>
      </c>
      <c r="D97" s="66">
        <f>'3.Spieltag'!D45</f>
        <v>0.5833333333333334</v>
      </c>
      <c r="E97" t="str">
        <f>'3.Spieltag'!E45</f>
        <v>B</v>
      </c>
      <c r="F97" t="str">
        <f>'3.Spieltag'!F45</f>
        <v>RSV Hannover</v>
      </c>
      <c r="G97" t="str">
        <f>'3.Spieltag'!H45</f>
        <v>ACC Hamburg</v>
      </c>
      <c r="H97" t="str">
        <f>Saisondaten!$A$10</f>
        <v>3. Spieltag</v>
      </c>
      <c r="I97" t="str">
        <f>Saisondaten!$E$10</f>
        <v>Hamburg</v>
      </c>
      <c r="J97" s="67">
        <f>Saisondaten!$C$10</f>
        <v>43282</v>
      </c>
    </row>
    <row r="98" spans="1:10" ht="15">
      <c r="A98">
        <f>'4.Spieltag'!A7</f>
        <v>97</v>
      </c>
      <c r="B98" t="str">
        <f>'4.Spieltag'!B7</f>
        <v>T</v>
      </c>
      <c r="C98">
        <f>'4.Spieltag'!C7</f>
        <v>1</v>
      </c>
      <c r="D98" s="66">
        <f>'4.Spieltag'!D7</f>
        <v>0.3958333333333333</v>
      </c>
      <c r="E98" t="str">
        <f>'4.Spieltag'!E7</f>
        <v>A/B</v>
      </c>
      <c r="F98" t="str">
        <f>'4.Spieltag'!F7</f>
        <v>RSV Hannover</v>
      </c>
      <c r="G98" t="str">
        <f>'4.Spieltag'!H7</f>
        <v>Göttinger PC</v>
      </c>
      <c r="H98" t="str">
        <f>Saisondaten!$A$11</f>
        <v>4. Spieltag</v>
      </c>
      <c r="I98" t="str">
        <f>Saisondaten!$D$11</f>
        <v>Brandenburg a.d. Havel</v>
      </c>
      <c r="J98" s="67">
        <f>Saisondaten!$B$11</f>
        <v>43302</v>
      </c>
    </row>
    <row r="99" spans="1:10" ht="15">
      <c r="A99">
        <f>'4.Spieltag'!A8</f>
        <v>98</v>
      </c>
      <c r="B99" t="str">
        <f>'4.Spieltag'!B8</f>
        <v>T</v>
      </c>
      <c r="C99">
        <f>'4.Spieltag'!C8</f>
        <v>2</v>
      </c>
      <c r="D99" s="66">
        <f>'4.Spieltag'!D8</f>
        <v>0.3958333333333333</v>
      </c>
      <c r="E99" t="str">
        <f>'4.Spieltag'!E8</f>
        <v>A/B</v>
      </c>
      <c r="F99" t="str">
        <f>'4.Spieltag'!F8</f>
        <v>ACC Hamburg</v>
      </c>
      <c r="G99" t="str">
        <f>'4.Spieltag'!H8</f>
        <v>KC Wetter</v>
      </c>
      <c r="H99" t="str">
        <f>Saisondaten!$A$11</f>
        <v>4. Spieltag</v>
      </c>
      <c r="I99" t="str">
        <f>Saisondaten!$D$11</f>
        <v>Brandenburg a.d. Havel</v>
      </c>
      <c r="J99" s="67">
        <f>Saisondaten!$B$11</f>
        <v>43302</v>
      </c>
    </row>
    <row r="100" spans="1:10" ht="15">
      <c r="A100">
        <f>'4.Spieltag'!A9</f>
        <v>99</v>
      </c>
      <c r="B100" t="str">
        <f>'4.Spieltag'!B9</f>
        <v>T</v>
      </c>
      <c r="C100">
        <f>'4.Spieltag'!C9</f>
        <v>1</v>
      </c>
      <c r="D100" s="66">
        <f>'4.Spieltag'!D9</f>
        <v>0.4270833333333333</v>
      </c>
      <c r="E100" t="str">
        <f>'4.Spieltag'!E9</f>
        <v>A/B</v>
      </c>
      <c r="F100" t="str">
        <f>'4.Spieltag'!F9</f>
        <v>KCNW Berlin</v>
      </c>
      <c r="G100" t="str">
        <f>'4.Spieltag'!H9</f>
        <v>KGW Essen</v>
      </c>
      <c r="H100" t="str">
        <f>Saisondaten!$A$11</f>
        <v>4. Spieltag</v>
      </c>
      <c r="I100" t="str">
        <f>Saisondaten!$D$11</f>
        <v>Brandenburg a.d. Havel</v>
      </c>
      <c r="J100" s="67">
        <f>Saisondaten!$B$11</f>
        <v>43302</v>
      </c>
    </row>
    <row r="101" spans="1:10" ht="15">
      <c r="A101">
        <f>'4.Spieltag'!A10</f>
        <v>100</v>
      </c>
      <c r="B101" t="str">
        <f>'4.Spieltag'!B10</f>
        <v>T</v>
      </c>
      <c r="C101">
        <f>'4.Spieltag'!C10</f>
        <v>2</v>
      </c>
      <c r="D101" s="66">
        <f>'4.Spieltag'!D10</f>
        <v>0.4270833333333333</v>
      </c>
      <c r="E101" t="str">
        <f>'4.Spieltag'!E10</f>
        <v>A/B</v>
      </c>
      <c r="F101" t="str">
        <f>'4.Spieltag'!F10</f>
        <v>KSVH Berlin</v>
      </c>
      <c r="G101" t="str">
        <f>'4.Spieltag'!H10</f>
        <v>1. MKC Duisburg</v>
      </c>
      <c r="H101" t="str">
        <f>Saisondaten!$A$11</f>
        <v>4. Spieltag</v>
      </c>
      <c r="I101" t="str">
        <f>Saisondaten!$D$11</f>
        <v>Brandenburg a.d. Havel</v>
      </c>
      <c r="J101" s="67">
        <f>Saisondaten!$B$11</f>
        <v>43302</v>
      </c>
    </row>
    <row r="102" spans="1:10" ht="15">
      <c r="A102">
        <f>'4.Spieltag'!A11</f>
        <v>101</v>
      </c>
      <c r="B102" t="str">
        <f>'4.Spieltag'!B11</f>
        <v>T</v>
      </c>
      <c r="C102">
        <f>'4.Spieltag'!C11</f>
        <v>1</v>
      </c>
      <c r="D102" s="66">
        <f>'4.Spieltag'!D11</f>
        <v>0.4583333333333333</v>
      </c>
      <c r="E102" t="str">
        <f>'4.Spieltag'!E11</f>
        <v>A/B</v>
      </c>
      <c r="F102" t="str">
        <f>'4.Spieltag'!F11</f>
        <v>VK Berlin</v>
      </c>
      <c r="G102" t="str">
        <f>'4.Spieltag'!H11</f>
        <v>WSF Liblar</v>
      </c>
      <c r="H102" t="str">
        <f>Saisondaten!$A$11</f>
        <v>4. Spieltag</v>
      </c>
      <c r="I102" t="str">
        <f>Saisondaten!$D$11</f>
        <v>Brandenburg a.d. Havel</v>
      </c>
      <c r="J102" s="67">
        <f>Saisondaten!$B$11</f>
        <v>43302</v>
      </c>
    </row>
    <row r="103" spans="1:10" ht="15">
      <c r="A103">
        <f>'4.Spieltag'!A12</f>
        <v>102</v>
      </c>
      <c r="B103" t="str">
        <f>'4.Spieltag'!B12</f>
        <v>T</v>
      </c>
      <c r="C103">
        <f>'4.Spieltag'!C12</f>
        <v>2</v>
      </c>
      <c r="D103" s="66">
        <f>'4.Spieltag'!D12</f>
        <v>0.4583333333333333</v>
      </c>
      <c r="E103" t="str">
        <f>'4.Spieltag'!E12</f>
        <v>A/B</v>
      </c>
      <c r="F103" t="str">
        <f>'4.Spieltag'!F12</f>
        <v>KSV Glauchau</v>
      </c>
      <c r="G103" t="str">
        <f>'4.Spieltag'!H12</f>
        <v>KRM Essen</v>
      </c>
      <c r="H103" t="str">
        <f>Saisondaten!$A$11</f>
        <v>4. Spieltag</v>
      </c>
      <c r="I103" t="str">
        <f>Saisondaten!$D$11</f>
        <v>Brandenburg a.d. Havel</v>
      </c>
      <c r="J103" s="67">
        <f>Saisondaten!$B$11</f>
        <v>43302</v>
      </c>
    </row>
    <row r="104" spans="1:10" ht="15">
      <c r="A104">
        <f>'4.Spieltag'!A13</f>
        <v>103</v>
      </c>
      <c r="B104" t="str">
        <f>'4.Spieltag'!B13</f>
        <v>T</v>
      </c>
      <c r="C104">
        <f>'4.Spieltag'!C13</f>
        <v>1</v>
      </c>
      <c r="D104" s="66">
        <f>'4.Spieltag'!D13</f>
        <v>0.4895833333333333</v>
      </c>
      <c r="E104" t="str">
        <f>'4.Spieltag'!E13</f>
        <v>A/B</v>
      </c>
      <c r="F104" t="str">
        <f>'4.Spieltag'!F13</f>
        <v>RSV Hannover</v>
      </c>
      <c r="G104" t="str">
        <f>'4.Spieltag'!H13</f>
        <v>KC Wetter</v>
      </c>
      <c r="H104" t="str">
        <f>Saisondaten!$A$11</f>
        <v>4. Spieltag</v>
      </c>
      <c r="I104" t="str">
        <f>Saisondaten!$D$11</f>
        <v>Brandenburg a.d. Havel</v>
      </c>
      <c r="J104" s="67">
        <f>Saisondaten!$B$11</f>
        <v>43302</v>
      </c>
    </row>
    <row r="105" spans="1:10" ht="15">
      <c r="A105">
        <f>'4.Spieltag'!A14</f>
        <v>104</v>
      </c>
      <c r="B105" t="str">
        <f>'4.Spieltag'!B14</f>
        <v>T</v>
      </c>
      <c r="C105">
        <f>'4.Spieltag'!C14</f>
        <v>2</v>
      </c>
      <c r="D105" s="66">
        <f>'4.Spieltag'!D14</f>
        <v>0.4895833333333333</v>
      </c>
      <c r="E105" t="str">
        <f>'4.Spieltag'!E14</f>
        <v>A/B</v>
      </c>
      <c r="F105" t="str">
        <f>'4.Spieltag'!F14</f>
        <v>ACC Hamburg</v>
      </c>
      <c r="G105" t="str">
        <f>'4.Spieltag'!H14</f>
        <v>Göttinger PC</v>
      </c>
      <c r="H105" t="str">
        <f>Saisondaten!$A$11</f>
        <v>4. Spieltag</v>
      </c>
      <c r="I105" t="str">
        <f>Saisondaten!$D$11</f>
        <v>Brandenburg a.d. Havel</v>
      </c>
      <c r="J105" s="67">
        <f>Saisondaten!$B$11</f>
        <v>43302</v>
      </c>
    </row>
    <row r="106" spans="1:10" ht="15">
      <c r="A106">
        <f>'4.Spieltag'!A15</f>
        <v>105</v>
      </c>
      <c r="B106" t="str">
        <f>'4.Spieltag'!B15</f>
        <v>T</v>
      </c>
      <c r="C106">
        <f>'4.Spieltag'!C15</f>
        <v>1</v>
      </c>
      <c r="D106" s="66">
        <f>'4.Spieltag'!D15</f>
        <v>0.5208333333333333</v>
      </c>
      <c r="E106" t="str">
        <f>'4.Spieltag'!E15</f>
        <v>A/B</v>
      </c>
      <c r="F106" t="str">
        <f>'4.Spieltag'!F15</f>
        <v>KCNW Berlin</v>
      </c>
      <c r="G106" t="str">
        <f>'4.Spieltag'!H15</f>
        <v>1. MKC Duisburg</v>
      </c>
      <c r="H106" t="str">
        <f>Saisondaten!$A$11</f>
        <v>4. Spieltag</v>
      </c>
      <c r="I106" t="str">
        <f>Saisondaten!$D$11</f>
        <v>Brandenburg a.d. Havel</v>
      </c>
      <c r="J106" s="67">
        <f>Saisondaten!$B$11</f>
        <v>43302</v>
      </c>
    </row>
    <row r="107" spans="1:10" ht="15">
      <c r="A107">
        <f>'4.Spieltag'!A16</f>
        <v>106</v>
      </c>
      <c r="B107" t="str">
        <f>'4.Spieltag'!B16</f>
        <v>T</v>
      </c>
      <c r="C107">
        <f>'4.Spieltag'!C16</f>
        <v>2</v>
      </c>
      <c r="D107" s="66">
        <f>'4.Spieltag'!D16</f>
        <v>0.5208333333333333</v>
      </c>
      <c r="E107" t="str">
        <f>'4.Spieltag'!E16</f>
        <v>A/B</v>
      </c>
      <c r="F107" t="str">
        <f>'4.Spieltag'!F16</f>
        <v>KSVH Berlin</v>
      </c>
      <c r="G107" t="str">
        <f>'4.Spieltag'!H16</f>
        <v>KGW Essen</v>
      </c>
      <c r="H107" t="str">
        <f>Saisondaten!$A$11</f>
        <v>4. Spieltag</v>
      </c>
      <c r="I107" t="str">
        <f>Saisondaten!$D$11</f>
        <v>Brandenburg a.d. Havel</v>
      </c>
      <c r="J107" s="67">
        <f>Saisondaten!$B$11</f>
        <v>43302</v>
      </c>
    </row>
    <row r="108" spans="1:10" ht="15">
      <c r="A108">
        <f>'4.Spieltag'!A17</f>
        <v>107</v>
      </c>
      <c r="B108" t="str">
        <f>'4.Spieltag'!B17</f>
        <v>T</v>
      </c>
      <c r="C108">
        <f>'4.Spieltag'!C17</f>
        <v>1</v>
      </c>
      <c r="D108" s="66">
        <f>'4.Spieltag'!D17</f>
        <v>0.5625</v>
      </c>
      <c r="E108" t="str">
        <f>'4.Spieltag'!E17</f>
        <v>A/B</v>
      </c>
      <c r="F108" t="str">
        <f>'4.Spieltag'!F17</f>
        <v>VK Berlin</v>
      </c>
      <c r="G108" t="str">
        <f>'4.Spieltag'!H17</f>
        <v>KRM Essen</v>
      </c>
      <c r="H108" t="str">
        <f>Saisondaten!$A$11</f>
        <v>4. Spieltag</v>
      </c>
      <c r="I108" t="str">
        <f>Saisondaten!$D$11</f>
        <v>Brandenburg a.d. Havel</v>
      </c>
      <c r="J108" s="67">
        <f>Saisondaten!$B$11</f>
        <v>43302</v>
      </c>
    </row>
    <row r="109" spans="1:10" ht="15">
      <c r="A109">
        <f>'4.Spieltag'!A18</f>
        <v>108</v>
      </c>
      <c r="B109" t="str">
        <f>'4.Spieltag'!B18</f>
        <v>T</v>
      </c>
      <c r="C109">
        <f>'4.Spieltag'!C18</f>
        <v>2</v>
      </c>
      <c r="D109" s="66">
        <f>'4.Spieltag'!D18</f>
        <v>0.5625</v>
      </c>
      <c r="E109" t="str">
        <f>'4.Spieltag'!E18</f>
        <v>A/B</v>
      </c>
      <c r="F109" t="str">
        <f>'4.Spieltag'!F18</f>
        <v>KSV Glauchau</v>
      </c>
      <c r="G109" t="str">
        <f>'4.Spieltag'!H18</f>
        <v>WSF Liblar</v>
      </c>
      <c r="H109" t="str">
        <f>Saisondaten!$A$11</f>
        <v>4. Spieltag</v>
      </c>
      <c r="I109" t="str">
        <f>Saisondaten!$D$11</f>
        <v>Brandenburg a.d. Havel</v>
      </c>
      <c r="J109" s="67">
        <f>Saisondaten!$B$11</f>
        <v>43302</v>
      </c>
    </row>
    <row r="110" spans="1:10" ht="15">
      <c r="A110">
        <f>'4.Spieltag'!A19</f>
        <v>109</v>
      </c>
      <c r="B110" t="str">
        <f>'4.Spieltag'!B19</f>
        <v>T</v>
      </c>
      <c r="C110">
        <f>'4.Spieltag'!C19</f>
        <v>1</v>
      </c>
      <c r="D110" s="66">
        <f>'4.Spieltag'!D19</f>
        <v>0.6041666666666666</v>
      </c>
      <c r="E110" t="str">
        <f>'4.Spieltag'!E19</f>
        <v>A/B</v>
      </c>
      <c r="F110" t="str">
        <f>'4.Spieltag'!F19</f>
        <v>RSV Hannover</v>
      </c>
      <c r="G110" t="str">
        <f>'4.Spieltag'!H19</f>
        <v>KGW Essen</v>
      </c>
      <c r="H110" t="str">
        <f>Saisondaten!$A$11</f>
        <v>4. Spieltag</v>
      </c>
      <c r="I110" t="str">
        <f>Saisondaten!$D$11</f>
        <v>Brandenburg a.d. Havel</v>
      </c>
      <c r="J110" s="67">
        <f>Saisondaten!$B$11</f>
        <v>43302</v>
      </c>
    </row>
    <row r="111" spans="1:10" ht="15">
      <c r="A111">
        <f>'4.Spieltag'!A20</f>
        <v>110</v>
      </c>
      <c r="B111" t="str">
        <f>'4.Spieltag'!B20</f>
        <v>T</v>
      </c>
      <c r="C111">
        <f>'4.Spieltag'!C20</f>
        <v>2</v>
      </c>
      <c r="D111" s="66">
        <f>'4.Spieltag'!D20</f>
        <v>0.6041666666666666</v>
      </c>
      <c r="E111" t="str">
        <f>'4.Spieltag'!E20</f>
        <v>A/B</v>
      </c>
      <c r="F111" t="str">
        <f>'4.Spieltag'!F20</f>
        <v>ACC Hamburg</v>
      </c>
      <c r="G111" t="str">
        <f>'4.Spieltag'!H20</f>
        <v>1. MKC Duisburg</v>
      </c>
      <c r="H111" t="str">
        <f>Saisondaten!$A$11</f>
        <v>4. Spieltag</v>
      </c>
      <c r="I111" t="str">
        <f>Saisondaten!$D$11</f>
        <v>Brandenburg a.d. Havel</v>
      </c>
      <c r="J111" s="67">
        <f>Saisondaten!$B$11</f>
        <v>43302</v>
      </c>
    </row>
    <row r="112" spans="1:10" ht="15">
      <c r="A112">
        <f>'4.Spieltag'!A21</f>
        <v>111</v>
      </c>
      <c r="B112" t="str">
        <f>'4.Spieltag'!B21</f>
        <v>T</v>
      </c>
      <c r="C112">
        <f>'4.Spieltag'!C21</f>
        <v>1</v>
      </c>
      <c r="D112" s="66">
        <f>'4.Spieltag'!D21</f>
        <v>0.6354166666666666</v>
      </c>
      <c r="E112" t="str">
        <f>'4.Spieltag'!E21</f>
        <v>A/B</v>
      </c>
      <c r="F112" t="str">
        <f>'4.Spieltag'!F21</f>
        <v>KCNW Berlin</v>
      </c>
      <c r="G112" t="str">
        <f>'4.Spieltag'!H21</f>
        <v>WSF Liblar</v>
      </c>
      <c r="H112" t="str">
        <f>Saisondaten!$A$11</f>
        <v>4. Spieltag</v>
      </c>
      <c r="I112" t="str">
        <f>Saisondaten!$D$11</f>
        <v>Brandenburg a.d. Havel</v>
      </c>
      <c r="J112" s="67">
        <f>Saisondaten!$B$11</f>
        <v>43302</v>
      </c>
    </row>
    <row r="113" spans="1:10" ht="15">
      <c r="A113">
        <f>'4.Spieltag'!A22</f>
        <v>112</v>
      </c>
      <c r="B113" t="str">
        <f>'4.Spieltag'!B22</f>
        <v>T</v>
      </c>
      <c r="C113">
        <f>'4.Spieltag'!C22</f>
        <v>2</v>
      </c>
      <c r="D113" s="66">
        <f>'4.Spieltag'!D22</f>
        <v>0.6354166666666666</v>
      </c>
      <c r="E113" t="str">
        <f>'4.Spieltag'!E22</f>
        <v>A/B</v>
      </c>
      <c r="F113" t="str">
        <f>'4.Spieltag'!F22</f>
        <v>KSVH Berlin</v>
      </c>
      <c r="G113" t="str">
        <f>'4.Spieltag'!H22</f>
        <v>KRM Essen</v>
      </c>
      <c r="H113" t="str">
        <f>Saisondaten!$A$11</f>
        <v>4. Spieltag</v>
      </c>
      <c r="I113" t="str">
        <f>Saisondaten!$D$11</f>
        <v>Brandenburg a.d. Havel</v>
      </c>
      <c r="J113" s="67">
        <f>Saisondaten!$B$11</f>
        <v>43302</v>
      </c>
    </row>
    <row r="114" spans="1:10" ht="15">
      <c r="A114">
        <f>'4.Spieltag'!A23</f>
        <v>113</v>
      </c>
      <c r="B114" t="str">
        <f>'4.Spieltag'!B23</f>
        <v>T</v>
      </c>
      <c r="C114">
        <f>'4.Spieltag'!C23</f>
        <v>1</v>
      </c>
      <c r="D114" s="66">
        <f>'4.Spieltag'!D23</f>
        <v>0.6666666666666666</v>
      </c>
      <c r="E114" t="str">
        <f>'4.Spieltag'!E23</f>
        <v>A/B</v>
      </c>
      <c r="F114" t="str">
        <f>'4.Spieltag'!F23</f>
        <v>VK Berlin</v>
      </c>
      <c r="G114" t="str">
        <f>'4.Spieltag'!H23</f>
        <v>Göttinger PC</v>
      </c>
      <c r="H114" t="str">
        <f>Saisondaten!$A$11</f>
        <v>4. Spieltag</v>
      </c>
      <c r="I114" t="str">
        <f>Saisondaten!$D$11</f>
        <v>Brandenburg a.d. Havel</v>
      </c>
      <c r="J114" s="67">
        <f>Saisondaten!$B$11</f>
        <v>43302</v>
      </c>
    </row>
    <row r="115" spans="1:10" ht="15">
      <c r="A115">
        <f>'4.Spieltag'!A24</f>
        <v>114</v>
      </c>
      <c r="B115" t="str">
        <f>'4.Spieltag'!B24</f>
        <v>T</v>
      </c>
      <c r="C115">
        <f>'4.Spieltag'!C24</f>
        <v>2</v>
      </c>
      <c r="D115" s="66">
        <f>'4.Spieltag'!D24</f>
        <v>0.6666666666666666</v>
      </c>
      <c r="E115" t="str">
        <f>'4.Spieltag'!E24</f>
        <v>A/B</v>
      </c>
      <c r="F115" t="str">
        <f>'4.Spieltag'!F24</f>
        <v>KSV Glauchau</v>
      </c>
      <c r="G115" t="str">
        <f>'4.Spieltag'!H24</f>
        <v>KC Wetter</v>
      </c>
      <c r="H115" t="str">
        <f>Saisondaten!$A$11</f>
        <v>4. Spieltag</v>
      </c>
      <c r="I115" t="str">
        <f>Saisondaten!$D$11</f>
        <v>Brandenburg a.d. Havel</v>
      </c>
      <c r="J115" s="67">
        <f>Saisondaten!$B$11</f>
        <v>43302</v>
      </c>
    </row>
    <row r="116" spans="1:10" ht="15">
      <c r="A116">
        <f>'4.Spieltag'!A25</f>
        <v>115</v>
      </c>
      <c r="B116" t="str">
        <f>'4.Spieltag'!B25</f>
        <v>T</v>
      </c>
      <c r="C116">
        <f>'4.Spieltag'!C25</f>
        <v>1</v>
      </c>
      <c r="D116" s="66">
        <f>'4.Spieltag'!D25</f>
        <v>0.6979166666666666</v>
      </c>
      <c r="E116" t="str">
        <f>'4.Spieltag'!E25</f>
        <v>A/B</v>
      </c>
      <c r="F116" t="str">
        <f>'4.Spieltag'!F25</f>
        <v>RSV Hannover</v>
      </c>
      <c r="G116" t="str">
        <f>'4.Spieltag'!H25</f>
        <v>1. MKC Duisburg</v>
      </c>
      <c r="H116" t="str">
        <f>Saisondaten!$A$11</f>
        <v>4. Spieltag</v>
      </c>
      <c r="I116" t="str">
        <f>Saisondaten!$D$11</f>
        <v>Brandenburg a.d. Havel</v>
      </c>
      <c r="J116" s="67">
        <f>Saisondaten!$B$11</f>
        <v>43302</v>
      </c>
    </row>
    <row r="117" spans="1:10" ht="15">
      <c r="A117">
        <f>'4.Spieltag'!A26</f>
        <v>116</v>
      </c>
      <c r="B117" t="str">
        <f>'4.Spieltag'!B26</f>
        <v>T</v>
      </c>
      <c r="C117">
        <f>'4.Spieltag'!C26</f>
        <v>2</v>
      </c>
      <c r="D117" s="66">
        <f>'4.Spieltag'!D26</f>
        <v>0.6979166666666666</v>
      </c>
      <c r="E117" t="str">
        <f>'4.Spieltag'!E26</f>
        <v>A/B</v>
      </c>
      <c r="F117" t="str">
        <f>'4.Spieltag'!F26</f>
        <v>ACC Hamburg</v>
      </c>
      <c r="G117" t="str">
        <f>'4.Spieltag'!H26</f>
        <v>KGW Essen</v>
      </c>
      <c r="H117" t="str">
        <f>Saisondaten!$A$11</f>
        <v>4. Spieltag</v>
      </c>
      <c r="I117" t="str">
        <f>Saisondaten!$D$11</f>
        <v>Brandenburg a.d. Havel</v>
      </c>
      <c r="J117" s="67">
        <f>Saisondaten!$B$11</f>
        <v>43302</v>
      </c>
    </row>
    <row r="118" spans="1:10" ht="15">
      <c r="A118">
        <f>'4.Spieltag'!A27</f>
        <v>117</v>
      </c>
      <c r="B118" t="str">
        <f>'4.Spieltag'!B27</f>
        <v>T</v>
      </c>
      <c r="C118">
        <f>'4.Spieltag'!C27</f>
        <v>1</v>
      </c>
      <c r="D118" s="66">
        <f>'4.Spieltag'!D27</f>
        <v>0.7291666666666666</v>
      </c>
      <c r="E118" t="str">
        <f>'4.Spieltag'!E27</f>
        <v>A/B</v>
      </c>
      <c r="F118" t="str">
        <f>'4.Spieltag'!F27</f>
        <v>KCNW Berlin</v>
      </c>
      <c r="G118" t="str">
        <f>'4.Spieltag'!H27</f>
        <v>KRM Essen</v>
      </c>
      <c r="H118" t="str">
        <f>Saisondaten!$A$11</f>
        <v>4. Spieltag</v>
      </c>
      <c r="I118" t="str">
        <f>Saisondaten!$D$11</f>
        <v>Brandenburg a.d. Havel</v>
      </c>
      <c r="J118" s="67">
        <f>Saisondaten!$B$11</f>
        <v>43302</v>
      </c>
    </row>
    <row r="119" spans="1:10" ht="15">
      <c r="A119">
        <f>'4.Spieltag'!A28</f>
        <v>118</v>
      </c>
      <c r="B119" t="str">
        <f>'4.Spieltag'!B28</f>
        <v>T</v>
      </c>
      <c r="C119">
        <f>'4.Spieltag'!C28</f>
        <v>2</v>
      </c>
      <c r="D119" s="66">
        <f>'4.Spieltag'!D28</f>
        <v>0.7291666666666666</v>
      </c>
      <c r="E119" t="str">
        <f>'4.Spieltag'!E28</f>
        <v>A/B</v>
      </c>
      <c r="F119" t="str">
        <f>'4.Spieltag'!F28</f>
        <v>KSVH Berlin</v>
      </c>
      <c r="G119" t="str">
        <f>'4.Spieltag'!H28</f>
        <v>WSF Liblar</v>
      </c>
      <c r="H119" t="str">
        <f>Saisondaten!$A$11</f>
        <v>4. Spieltag</v>
      </c>
      <c r="I119" t="str">
        <f>Saisondaten!$D$11</f>
        <v>Brandenburg a.d. Havel</v>
      </c>
      <c r="J119" s="67">
        <f>Saisondaten!$B$11</f>
        <v>43302</v>
      </c>
    </row>
    <row r="120" spans="1:10" ht="15">
      <c r="A120">
        <f>'4.Spieltag'!A29</f>
        <v>119</v>
      </c>
      <c r="B120" t="str">
        <f>'4.Spieltag'!B29</f>
        <v>T</v>
      </c>
      <c r="C120">
        <f>'4.Spieltag'!C29</f>
        <v>1</v>
      </c>
      <c r="D120" s="66">
        <f>'4.Spieltag'!D29</f>
        <v>0.7604166666666666</v>
      </c>
      <c r="E120" t="str">
        <f>'4.Spieltag'!E29</f>
        <v>A/B</v>
      </c>
      <c r="F120" t="str">
        <f>'4.Spieltag'!F29</f>
        <v>VK Berlin</v>
      </c>
      <c r="G120" t="str">
        <f>'4.Spieltag'!H29</f>
        <v>KC Wetter</v>
      </c>
      <c r="H120" t="str">
        <f>Saisondaten!$A$11</f>
        <v>4. Spieltag</v>
      </c>
      <c r="I120" t="str">
        <f>Saisondaten!$D$11</f>
        <v>Brandenburg a.d. Havel</v>
      </c>
      <c r="J120" s="67">
        <f>Saisondaten!$B$11</f>
        <v>43302</v>
      </c>
    </row>
    <row r="121" spans="1:10" ht="15">
      <c r="A121">
        <f>'4.Spieltag'!A30</f>
        <v>120</v>
      </c>
      <c r="B121" t="str">
        <f>'4.Spieltag'!B30</f>
        <v>T</v>
      </c>
      <c r="C121">
        <f>'4.Spieltag'!C30</f>
        <v>2</v>
      </c>
      <c r="D121" s="66">
        <f>'4.Spieltag'!D30</f>
        <v>0.7604166666666666</v>
      </c>
      <c r="E121" t="str">
        <f>'4.Spieltag'!E30</f>
        <v>A/B</v>
      </c>
      <c r="F121" t="str">
        <f>'4.Spieltag'!F30</f>
        <v>KSV Glauchau</v>
      </c>
      <c r="G121" t="str">
        <f>'4.Spieltag'!H30</f>
        <v>Göttinger PC</v>
      </c>
      <c r="H121" t="str">
        <f>Saisondaten!$A$11</f>
        <v>4. Spieltag</v>
      </c>
      <c r="I121" t="str">
        <f>Saisondaten!$D$11</f>
        <v>Brandenburg a.d. Havel</v>
      </c>
      <c r="J121" s="67">
        <f>Saisondaten!$B$11</f>
        <v>43302</v>
      </c>
    </row>
    <row r="122" spans="1:10" ht="15">
      <c r="A122">
        <f>'4.Spieltag'!A33</f>
        <v>121</v>
      </c>
      <c r="B122" t="str">
        <f>'4.Spieltag'!B33</f>
        <v>T</v>
      </c>
      <c r="C122">
        <f>'4.Spieltag'!C33</f>
        <v>1</v>
      </c>
      <c r="D122" s="66">
        <f>'4.Spieltag'!D33</f>
        <v>0.4166666666666667</v>
      </c>
      <c r="E122" t="str">
        <f>'4.Spieltag'!E33</f>
        <v>A/B</v>
      </c>
      <c r="F122" t="str">
        <f>'4.Spieltag'!F33</f>
        <v>VK Berlin</v>
      </c>
      <c r="G122" t="str">
        <f>'4.Spieltag'!H33</f>
        <v>KGW Essen</v>
      </c>
      <c r="H122" t="str">
        <f>Saisondaten!$A$11</f>
        <v>4. Spieltag</v>
      </c>
      <c r="I122" t="str">
        <f>Saisondaten!$D$11</f>
        <v>Brandenburg a.d. Havel</v>
      </c>
      <c r="J122" s="67">
        <f>Saisondaten!$C$11</f>
        <v>43303</v>
      </c>
    </row>
    <row r="123" spans="1:10" ht="15">
      <c r="A123">
        <f>'4.Spieltag'!A34</f>
        <v>122</v>
      </c>
      <c r="B123" t="str">
        <f>'4.Spieltag'!B34</f>
        <v>T</v>
      </c>
      <c r="C123">
        <f>'4.Spieltag'!C34</f>
        <v>2</v>
      </c>
      <c r="D123" s="66">
        <f>'4.Spieltag'!D34</f>
        <v>0.4166666666666667</v>
      </c>
      <c r="E123" t="str">
        <f>'4.Spieltag'!E34</f>
        <v>A/B</v>
      </c>
      <c r="F123" t="str">
        <f>'4.Spieltag'!F34</f>
        <v>KSV Glauchau</v>
      </c>
      <c r="G123" t="str">
        <f>'4.Spieltag'!H34</f>
        <v>1. MKC Duisburg</v>
      </c>
      <c r="H123" t="str">
        <f>Saisondaten!$A$11</f>
        <v>4. Spieltag</v>
      </c>
      <c r="I123" t="str">
        <f>Saisondaten!$D$11</f>
        <v>Brandenburg a.d. Havel</v>
      </c>
      <c r="J123" s="67">
        <f>Saisondaten!$C$11</f>
        <v>43303</v>
      </c>
    </row>
    <row r="124" spans="1:10" ht="15">
      <c r="A124">
        <f>'4.Spieltag'!A35</f>
        <v>123</v>
      </c>
      <c r="B124" t="str">
        <f>'4.Spieltag'!B35</f>
        <v>T</v>
      </c>
      <c r="C124">
        <f>'4.Spieltag'!C35</f>
        <v>1</v>
      </c>
      <c r="D124" s="66">
        <f>'4.Spieltag'!D35</f>
        <v>0.4479166666666667</v>
      </c>
      <c r="E124" t="str">
        <f>'4.Spieltag'!E35</f>
        <v>A/B</v>
      </c>
      <c r="F124" t="str">
        <f>'4.Spieltag'!F35</f>
        <v>KCNW Berlin</v>
      </c>
      <c r="G124" t="str">
        <f>'4.Spieltag'!H35</f>
        <v>Göttinger PC</v>
      </c>
      <c r="H124" t="str">
        <f>Saisondaten!$A$11</f>
        <v>4. Spieltag</v>
      </c>
      <c r="I124" t="str">
        <f>Saisondaten!$D$11</f>
        <v>Brandenburg a.d. Havel</v>
      </c>
      <c r="J124" s="67">
        <f>Saisondaten!$C$11</f>
        <v>43303</v>
      </c>
    </row>
    <row r="125" spans="1:10" ht="15">
      <c r="A125">
        <f>'4.Spieltag'!A36</f>
        <v>124</v>
      </c>
      <c r="B125" t="str">
        <f>'4.Spieltag'!B36</f>
        <v>T</v>
      </c>
      <c r="C125">
        <f>'4.Spieltag'!C36</f>
        <v>2</v>
      </c>
      <c r="D125" s="66">
        <f>'4.Spieltag'!D36</f>
        <v>0.4479166666666667</v>
      </c>
      <c r="E125" t="str">
        <f>'4.Spieltag'!E36</f>
        <v>A/B</v>
      </c>
      <c r="F125" t="str">
        <f>'4.Spieltag'!F36</f>
        <v>KSVH Berlin</v>
      </c>
      <c r="G125" t="str">
        <f>'4.Spieltag'!H36</f>
        <v>KC Wetter</v>
      </c>
      <c r="H125" t="str">
        <f>Saisondaten!$A$11</f>
        <v>4. Spieltag</v>
      </c>
      <c r="I125" t="str">
        <f>Saisondaten!$D$11</f>
        <v>Brandenburg a.d. Havel</v>
      </c>
      <c r="J125" s="67">
        <f>Saisondaten!$C$11</f>
        <v>43303</v>
      </c>
    </row>
    <row r="126" spans="1:10" ht="15">
      <c r="A126">
        <f>'4.Spieltag'!A37</f>
        <v>125</v>
      </c>
      <c r="B126" t="str">
        <f>'4.Spieltag'!B37</f>
        <v>T</v>
      </c>
      <c r="C126">
        <f>'4.Spieltag'!C37</f>
        <v>1</v>
      </c>
      <c r="D126" s="66">
        <f>'4.Spieltag'!D37</f>
        <v>0.4791666666666667</v>
      </c>
      <c r="E126" t="str">
        <f>'4.Spieltag'!E37</f>
        <v>A/B</v>
      </c>
      <c r="F126" t="str">
        <f>'4.Spieltag'!F37</f>
        <v>RSV Hannover</v>
      </c>
      <c r="G126" t="str">
        <f>'4.Spieltag'!H37</f>
        <v>WSF Liblar</v>
      </c>
      <c r="H126" t="str">
        <f>Saisondaten!$A$11</f>
        <v>4. Spieltag</v>
      </c>
      <c r="I126" t="str">
        <f>Saisondaten!$D$11</f>
        <v>Brandenburg a.d. Havel</v>
      </c>
      <c r="J126" s="67">
        <f>Saisondaten!$C$11</f>
        <v>43303</v>
      </c>
    </row>
    <row r="127" spans="1:10" ht="15">
      <c r="A127">
        <f>'4.Spieltag'!A38</f>
        <v>126</v>
      </c>
      <c r="B127" t="str">
        <f>'4.Spieltag'!B38</f>
        <v>T</v>
      </c>
      <c r="C127">
        <f>'4.Spieltag'!C38</f>
        <v>2</v>
      </c>
      <c r="D127" s="66">
        <f>'4.Spieltag'!D38</f>
        <v>0.4791666666666667</v>
      </c>
      <c r="E127" t="str">
        <f>'4.Spieltag'!E38</f>
        <v>A/B</v>
      </c>
      <c r="F127" t="str">
        <f>'4.Spieltag'!F38</f>
        <v>ACC Hamburg</v>
      </c>
      <c r="G127" t="str">
        <f>'4.Spieltag'!H38</f>
        <v>KRM Essen</v>
      </c>
      <c r="H127" t="str">
        <f>Saisondaten!$A$11</f>
        <v>4. Spieltag</v>
      </c>
      <c r="I127" t="str">
        <f>Saisondaten!$D$11</f>
        <v>Brandenburg a.d. Havel</v>
      </c>
      <c r="J127" s="67">
        <f>Saisondaten!$C$11</f>
        <v>43303</v>
      </c>
    </row>
    <row r="128" spans="1:10" ht="15">
      <c r="A128">
        <f>'4.Spieltag'!A39</f>
        <v>127</v>
      </c>
      <c r="B128" t="str">
        <f>'4.Spieltag'!B39</f>
        <v>T</v>
      </c>
      <c r="C128">
        <f>'4.Spieltag'!C39</f>
        <v>1</v>
      </c>
      <c r="D128" s="66">
        <f>'4.Spieltag'!D39</f>
        <v>0.5208333333333334</v>
      </c>
      <c r="E128" t="str">
        <f>'4.Spieltag'!E39</f>
        <v>A/B</v>
      </c>
      <c r="F128" t="str">
        <f>'4.Spieltag'!F39</f>
        <v>VK Berlin</v>
      </c>
      <c r="G128" t="str">
        <f>'4.Spieltag'!H39</f>
        <v>1. MKC Duisburg</v>
      </c>
      <c r="H128" t="str">
        <f>Saisondaten!$A$11</f>
        <v>4. Spieltag</v>
      </c>
      <c r="I128" t="str">
        <f>Saisondaten!$D$11</f>
        <v>Brandenburg a.d. Havel</v>
      </c>
      <c r="J128" s="67">
        <f>Saisondaten!$C$11</f>
        <v>43303</v>
      </c>
    </row>
    <row r="129" spans="1:10" ht="15">
      <c r="A129">
        <f>'4.Spieltag'!A40</f>
        <v>128</v>
      </c>
      <c r="B129" t="str">
        <f>'4.Spieltag'!B40</f>
        <v>T</v>
      </c>
      <c r="C129">
        <f>'4.Spieltag'!C40</f>
        <v>2</v>
      </c>
      <c r="D129" s="66">
        <f>'4.Spieltag'!D40</f>
        <v>0.5208333333333334</v>
      </c>
      <c r="E129" t="str">
        <f>'4.Spieltag'!E40</f>
        <v>A/B</v>
      </c>
      <c r="F129" t="str">
        <f>'4.Spieltag'!F40</f>
        <v>KSV Glauchau</v>
      </c>
      <c r="G129" t="str">
        <f>'4.Spieltag'!H40</f>
        <v>KGW Essen</v>
      </c>
      <c r="H129" t="str">
        <f>Saisondaten!$A$11</f>
        <v>4. Spieltag</v>
      </c>
      <c r="I129" t="str">
        <f>Saisondaten!$D$11</f>
        <v>Brandenburg a.d. Havel</v>
      </c>
      <c r="J129" s="67">
        <f>Saisondaten!$C$11</f>
        <v>43303</v>
      </c>
    </row>
    <row r="130" spans="1:10" ht="15">
      <c r="A130">
        <f>'4.Spieltag'!A41</f>
        <v>129</v>
      </c>
      <c r="B130" t="str">
        <f>'4.Spieltag'!B41</f>
        <v>T</v>
      </c>
      <c r="C130">
        <f>'4.Spieltag'!C41</f>
        <v>1</v>
      </c>
      <c r="D130" s="66">
        <f>'4.Spieltag'!D41</f>
        <v>0.5520833333333334</v>
      </c>
      <c r="E130" t="str">
        <f>'4.Spieltag'!E41</f>
        <v>A/B</v>
      </c>
      <c r="F130" t="str">
        <f>'4.Spieltag'!F41</f>
        <v>KCNW Berlin</v>
      </c>
      <c r="G130" t="str">
        <f>'4.Spieltag'!H41</f>
        <v>KC Wetter</v>
      </c>
      <c r="H130" t="str">
        <f>Saisondaten!$A$11</f>
        <v>4. Spieltag</v>
      </c>
      <c r="I130" t="str">
        <f>Saisondaten!$D$11</f>
        <v>Brandenburg a.d. Havel</v>
      </c>
      <c r="J130" s="67">
        <f>Saisondaten!$C$11</f>
        <v>43303</v>
      </c>
    </row>
    <row r="131" spans="1:10" ht="15">
      <c r="A131">
        <f>'4.Spieltag'!A42</f>
        <v>130</v>
      </c>
      <c r="B131" t="str">
        <f>'4.Spieltag'!B42</f>
        <v>T</v>
      </c>
      <c r="C131">
        <f>'4.Spieltag'!C42</f>
        <v>2</v>
      </c>
      <c r="D131" s="66">
        <f>'4.Spieltag'!D42</f>
        <v>0.5520833333333334</v>
      </c>
      <c r="E131" t="str">
        <f>'4.Spieltag'!E42</f>
        <v>A/B</v>
      </c>
      <c r="F131" t="str">
        <f>'4.Spieltag'!F42</f>
        <v>KSVH Berlin</v>
      </c>
      <c r="G131" t="str">
        <f>'4.Spieltag'!H42</f>
        <v>Göttinger PC</v>
      </c>
      <c r="H131" t="str">
        <f>Saisondaten!$A$11</f>
        <v>4. Spieltag</v>
      </c>
      <c r="I131" t="str">
        <f>Saisondaten!$D$11</f>
        <v>Brandenburg a.d. Havel</v>
      </c>
      <c r="J131" s="67">
        <f>Saisondaten!$C$11</f>
        <v>43303</v>
      </c>
    </row>
    <row r="132" spans="1:10" ht="15">
      <c r="A132">
        <f>'4.Spieltag'!A43</f>
        <v>131</v>
      </c>
      <c r="B132" t="str">
        <f>'4.Spieltag'!B43</f>
        <v>T</v>
      </c>
      <c r="C132">
        <f>'4.Spieltag'!C43</f>
        <v>1</v>
      </c>
      <c r="D132" s="66">
        <f>'4.Spieltag'!D43</f>
        <v>0.5833333333333334</v>
      </c>
      <c r="E132" t="str">
        <f>'4.Spieltag'!E43</f>
        <v>A/B</v>
      </c>
      <c r="F132" t="str">
        <f>'4.Spieltag'!F43</f>
        <v>RSV Hannover</v>
      </c>
      <c r="G132" t="str">
        <f>'4.Spieltag'!H43</f>
        <v>KRM Essen</v>
      </c>
      <c r="H132" t="str">
        <f>Saisondaten!$A$11</f>
        <v>4. Spieltag</v>
      </c>
      <c r="I132" t="str">
        <f>Saisondaten!$D$11</f>
        <v>Brandenburg a.d. Havel</v>
      </c>
      <c r="J132" s="67">
        <f>Saisondaten!$C$11</f>
        <v>43303</v>
      </c>
    </row>
    <row r="133" spans="1:10" ht="15">
      <c r="A133">
        <f>'4.Spieltag'!A44</f>
        <v>132</v>
      </c>
      <c r="B133" t="str">
        <f>'4.Spieltag'!B44</f>
        <v>T</v>
      </c>
      <c r="C133">
        <f>'4.Spieltag'!C44</f>
        <v>2</v>
      </c>
      <c r="D133" s="66">
        <f>'4.Spieltag'!D44</f>
        <v>0.5833333333333334</v>
      </c>
      <c r="E133" t="str">
        <f>'4.Spieltag'!E44</f>
        <v>A/B</v>
      </c>
      <c r="F133" t="str">
        <f>'4.Spieltag'!F44</f>
        <v>ACC Hamburg</v>
      </c>
      <c r="G133" t="str">
        <f>'4.Spieltag'!H44</f>
        <v>WSF Liblar</v>
      </c>
      <c r="H133" t="str">
        <f>Saisondaten!$A$11</f>
        <v>4. Spieltag</v>
      </c>
      <c r="I133" t="str">
        <f>Saisondaten!$D$11</f>
        <v>Brandenburg a.d. Havel</v>
      </c>
      <c r="J133" s="67">
        <f>Saisondaten!$C$11</f>
        <v>43303</v>
      </c>
    </row>
    <row r="134" spans="1:10" ht="15">
      <c r="A134">
        <f>'Playoff-Playdowns'!A7</f>
        <v>133</v>
      </c>
      <c r="B134" t="str">
        <f>'Playoff-Playdowns'!B7</f>
        <v>T</v>
      </c>
      <c r="C134">
        <f>'Playoff-Playdowns'!C7</f>
        <v>1</v>
      </c>
      <c r="D134" s="66">
        <f>'Playoff-Playdowns'!D7</f>
        <v>0.3333333333333333</v>
      </c>
      <c r="E134" t="str">
        <f>'Playoff-Playdowns'!E7</f>
        <v>Tab. AS</v>
      </c>
      <c r="F134" t="str">
        <f>'Playoff-Playdowns'!F7</f>
        <v>9. Platz</v>
      </c>
      <c r="G134" t="str">
        <f>'Playoff-Playdowns'!H7</f>
        <v>12. Platz</v>
      </c>
      <c r="H134" t="s">
        <v>248</v>
      </c>
      <c r="I134" t="str">
        <f>Saisondaten!$D$12</f>
        <v>Duisburg</v>
      </c>
      <c r="J134" s="67">
        <f>Saisondaten!$B$12</f>
        <v>43357</v>
      </c>
    </row>
    <row r="135" spans="1:10" ht="15">
      <c r="A135">
        <f>'Playoff-Playdowns'!A8</f>
        <v>134</v>
      </c>
      <c r="B135" t="str">
        <f>'Playoff-Playdowns'!B8</f>
        <v>E</v>
      </c>
      <c r="C135">
        <f>'Playoff-Playdowns'!C8</f>
        <v>1</v>
      </c>
      <c r="D135" s="66">
        <f>'Playoff-Playdowns'!D8</f>
        <v>0.3611111111111111</v>
      </c>
      <c r="E135" t="str">
        <f>'Playoff-Playdowns'!E8</f>
        <v>P/O 1A 1</v>
      </c>
      <c r="F135" t="str">
        <f>'Playoff-Playdowns'!F8</f>
        <v>1. Platz</v>
      </c>
      <c r="G135" t="str">
        <f>'Playoff-Playdowns'!H8</f>
        <v>8. Platz</v>
      </c>
      <c r="H135" t="s">
        <v>245</v>
      </c>
      <c r="I135" t="str">
        <f>Saisondaten!$D$12</f>
        <v>Duisburg</v>
      </c>
      <c r="J135" s="67">
        <f>Saisondaten!$B$12</f>
        <v>43357</v>
      </c>
    </row>
    <row r="136" spans="1:10" ht="15">
      <c r="A136">
        <f>'Playoff-Playdowns'!A9</f>
        <v>135</v>
      </c>
      <c r="B136" t="str">
        <f>'Playoff-Playdowns'!B9</f>
        <v>E</v>
      </c>
      <c r="C136">
        <f>'Playoff-Playdowns'!C9</f>
        <v>1</v>
      </c>
      <c r="D136" s="66">
        <f>'Playoff-Playdowns'!D9</f>
        <v>0.3888888888888889</v>
      </c>
      <c r="E136" t="str">
        <f>'Playoff-Playdowns'!E9</f>
        <v>P/O 1B 1</v>
      </c>
      <c r="F136" t="str">
        <f>'Playoff-Playdowns'!F9</f>
        <v>2. Platz</v>
      </c>
      <c r="G136" t="str">
        <f>'Playoff-Playdowns'!H9</f>
        <v>7. Platz</v>
      </c>
      <c r="H136" t="s">
        <v>245</v>
      </c>
      <c r="I136" t="str">
        <f>Saisondaten!$D$12</f>
        <v>Duisburg</v>
      </c>
      <c r="J136" s="67">
        <f>Saisondaten!$B$12</f>
        <v>43357</v>
      </c>
    </row>
    <row r="137" spans="1:10" ht="15">
      <c r="A137">
        <f>'Playoff-Playdowns'!A10</f>
        <v>136</v>
      </c>
      <c r="B137" t="str">
        <f>'Playoff-Playdowns'!B10</f>
        <v>T</v>
      </c>
      <c r="C137">
        <f>'Playoff-Playdowns'!C10</f>
        <v>1</v>
      </c>
      <c r="D137" s="66">
        <f>'Playoff-Playdowns'!D10</f>
        <v>0.4166666666666667</v>
      </c>
      <c r="E137" t="str">
        <f>'Playoff-Playdowns'!E10</f>
        <v>Tab. AS</v>
      </c>
      <c r="F137" t="str">
        <f>'Playoff-Playdowns'!F10</f>
        <v>11. Platz</v>
      </c>
      <c r="G137" t="str">
        <f>'Playoff-Playdowns'!H10</f>
        <v>10. Platz</v>
      </c>
      <c r="H137" t="s">
        <v>248</v>
      </c>
      <c r="I137" t="str">
        <f>Saisondaten!$D$12</f>
        <v>Duisburg</v>
      </c>
      <c r="J137" s="67">
        <f>Saisondaten!$B$12</f>
        <v>43357</v>
      </c>
    </row>
    <row r="138" spans="1:10" ht="15">
      <c r="A138">
        <f>'Playoff-Playdowns'!A11</f>
        <v>137</v>
      </c>
      <c r="B138" t="str">
        <f>'Playoff-Playdowns'!B11</f>
        <v>E</v>
      </c>
      <c r="C138">
        <f>'Playoff-Playdowns'!C11</f>
        <v>1</v>
      </c>
      <c r="D138" s="66">
        <f>'Playoff-Playdowns'!D11</f>
        <v>0.4444444444444445</v>
      </c>
      <c r="E138" t="str">
        <f>'Playoff-Playdowns'!E11</f>
        <v>P/O 1C 1</v>
      </c>
      <c r="F138" t="str">
        <f>'Playoff-Playdowns'!F11</f>
        <v>3. Platz</v>
      </c>
      <c r="G138" t="str">
        <f>'Playoff-Playdowns'!H11</f>
        <v>6. Platz</v>
      </c>
      <c r="H138" t="s">
        <v>245</v>
      </c>
      <c r="I138" t="str">
        <f>Saisondaten!$D$12</f>
        <v>Duisburg</v>
      </c>
      <c r="J138" s="67">
        <f>Saisondaten!$B$12</f>
        <v>43357</v>
      </c>
    </row>
    <row r="139" spans="1:10" ht="15">
      <c r="A139">
        <f>'Playoff-Playdowns'!A12</f>
        <v>138</v>
      </c>
      <c r="B139" t="str">
        <f>'Playoff-Playdowns'!B12</f>
        <v>E</v>
      </c>
      <c r="C139">
        <f>'Playoff-Playdowns'!C12</f>
        <v>1</v>
      </c>
      <c r="D139" s="66">
        <f>'Playoff-Playdowns'!D12</f>
        <v>0.47222222222222227</v>
      </c>
      <c r="E139" t="str">
        <f>'Playoff-Playdowns'!E12</f>
        <v>P/O 1D 1</v>
      </c>
      <c r="F139" t="str">
        <f>'Playoff-Playdowns'!F12</f>
        <v>4. Platz</v>
      </c>
      <c r="G139" t="str">
        <f>'Playoff-Playdowns'!H12</f>
        <v>5. Platz</v>
      </c>
      <c r="H139" t="s">
        <v>245</v>
      </c>
      <c r="I139" t="str">
        <f>Saisondaten!$D$12</f>
        <v>Duisburg</v>
      </c>
      <c r="J139" s="67">
        <f>Saisondaten!$B$12</f>
        <v>43357</v>
      </c>
    </row>
    <row r="140" spans="1:10" ht="15">
      <c r="A140">
        <f>'Playoff-Playdowns'!A13</f>
        <v>139</v>
      </c>
      <c r="B140" t="str">
        <f>'Playoff-Playdowns'!B13</f>
        <v>T</v>
      </c>
      <c r="C140">
        <f>'Playoff-Playdowns'!C13</f>
        <v>1</v>
      </c>
      <c r="D140" s="66">
        <f>'Playoff-Playdowns'!D13</f>
        <v>0.5</v>
      </c>
      <c r="E140" t="str">
        <f>'Playoff-Playdowns'!E13</f>
        <v>Tab. AS</v>
      </c>
      <c r="F140" t="str">
        <f>'Playoff-Playdowns'!F13</f>
        <v>12. Platz</v>
      </c>
      <c r="G140" t="str">
        <f>'Playoff-Playdowns'!H13</f>
        <v>11. Platz</v>
      </c>
      <c r="H140" t="s">
        <v>248</v>
      </c>
      <c r="I140" t="str">
        <f>Saisondaten!$D$12</f>
        <v>Duisburg</v>
      </c>
      <c r="J140" s="67">
        <f>Saisondaten!$B$12</f>
        <v>43357</v>
      </c>
    </row>
    <row r="141" spans="1:10" ht="15">
      <c r="A141">
        <f>'Playoff-Playdowns'!A14</f>
        <v>140</v>
      </c>
      <c r="B141" t="str">
        <f>'Playoff-Playdowns'!B14</f>
        <v>E</v>
      </c>
      <c r="C141">
        <f>'Playoff-Playdowns'!C14</f>
        <v>1</v>
      </c>
      <c r="D141" s="66">
        <f>'Playoff-Playdowns'!D14</f>
        <v>0.5277777777777778</v>
      </c>
      <c r="E141" t="str">
        <f>'Playoff-Playdowns'!E14</f>
        <v>P/O 1A 2</v>
      </c>
      <c r="F141" t="str">
        <f>'Playoff-Playdowns'!F14</f>
        <v>1. Platz</v>
      </c>
      <c r="G141" t="str">
        <f>'Playoff-Playdowns'!H14</f>
        <v>8. Platz</v>
      </c>
      <c r="H141" t="s">
        <v>245</v>
      </c>
      <c r="I141" t="str">
        <f>Saisondaten!$D$12</f>
        <v>Duisburg</v>
      </c>
      <c r="J141" s="67">
        <f>Saisondaten!$B$12</f>
        <v>43357</v>
      </c>
    </row>
    <row r="142" spans="1:10" ht="15">
      <c r="A142">
        <f>'Playoff-Playdowns'!A15</f>
        <v>141</v>
      </c>
      <c r="B142" t="str">
        <f>'Playoff-Playdowns'!B15</f>
        <v>E</v>
      </c>
      <c r="C142">
        <f>'Playoff-Playdowns'!C15</f>
        <v>1</v>
      </c>
      <c r="D142" s="66">
        <f>'Playoff-Playdowns'!D15</f>
        <v>0.5555555555555556</v>
      </c>
      <c r="E142" t="str">
        <f>'Playoff-Playdowns'!E15</f>
        <v>P/O 1B 2</v>
      </c>
      <c r="F142" t="str">
        <f>'Playoff-Playdowns'!F15</f>
        <v>2. Platz</v>
      </c>
      <c r="G142" t="str">
        <f>'Playoff-Playdowns'!H15</f>
        <v>7. Platz</v>
      </c>
      <c r="H142" t="s">
        <v>245</v>
      </c>
      <c r="I142" t="str">
        <f>Saisondaten!$D$12</f>
        <v>Duisburg</v>
      </c>
      <c r="J142" s="67">
        <f>Saisondaten!$B$12</f>
        <v>43357</v>
      </c>
    </row>
    <row r="143" spans="1:10" ht="15">
      <c r="A143">
        <f>'Playoff-Playdowns'!A16</f>
        <v>142</v>
      </c>
      <c r="B143" t="str">
        <f>'Playoff-Playdowns'!B16</f>
        <v>T</v>
      </c>
      <c r="C143">
        <f>'Playoff-Playdowns'!C16</f>
        <v>1</v>
      </c>
      <c r="D143" s="66">
        <f>'Playoff-Playdowns'!D16</f>
        <v>0.5833333333333334</v>
      </c>
      <c r="E143" t="str">
        <f>'Playoff-Playdowns'!E16</f>
        <v>Tab. AS</v>
      </c>
      <c r="F143" t="str">
        <f>'Playoff-Playdowns'!F16</f>
        <v>10. Platz</v>
      </c>
      <c r="G143" t="str">
        <f>'Playoff-Playdowns'!H16</f>
        <v>9. Platz</v>
      </c>
      <c r="H143" t="s">
        <v>248</v>
      </c>
      <c r="I143" t="str">
        <f>Saisondaten!$D$12</f>
        <v>Duisburg</v>
      </c>
      <c r="J143" s="67">
        <f>Saisondaten!$B$12</f>
        <v>43357</v>
      </c>
    </row>
    <row r="144" spans="1:10" ht="15">
      <c r="A144">
        <f>'Playoff-Playdowns'!A17</f>
        <v>143</v>
      </c>
      <c r="B144" t="str">
        <f>'Playoff-Playdowns'!B17</f>
        <v>E</v>
      </c>
      <c r="C144">
        <f>'Playoff-Playdowns'!C17</f>
        <v>1</v>
      </c>
      <c r="D144" s="66">
        <f>'Playoff-Playdowns'!D17</f>
        <v>0.6111111111111112</v>
      </c>
      <c r="E144" t="str">
        <f>'Playoff-Playdowns'!E17</f>
        <v>P/O 1C 2</v>
      </c>
      <c r="F144" t="str">
        <f>'Playoff-Playdowns'!F17</f>
        <v>3. Platz</v>
      </c>
      <c r="G144" t="str">
        <f>'Playoff-Playdowns'!H17</f>
        <v>6. Platz</v>
      </c>
      <c r="H144" t="s">
        <v>245</v>
      </c>
      <c r="I144" t="str">
        <f>Saisondaten!$D$12</f>
        <v>Duisburg</v>
      </c>
      <c r="J144" s="67">
        <f>Saisondaten!$B$12</f>
        <v>43357</v>
      </c>
    </row>
    <row r="145" spans="1:10" ht="15">
      <c r="A145">
        <f>'Playoff-Playdowns'!A18</f>
        <v>144</v>
      </c>
      <c r="B145" t="str">
        <f>'Playoff-Playdowns'!B18</f>
        <v>E</v>
      </c>
      <c r="C145">
        <f>'Playoff-Playdowns'!C18</f>
        <v>1</v>
      </c>
      <c r="D145" s="66">
        <f>'Playoff-Playdowns'!D18</f>
        <v>0.638888888888889</v>
      </c>
      <c r="E145" t="str">
        <f>'Playoff-Playdowns'!E18</f>
        <v>P/O 1D 2</v>
      </c>
      <c r="F145" t="str">
        <f>'Playoff-Playdowns'!F18</f>
        <v>4. Platz</v>
      </c>
      <c r="G145" t="str">
        <f>'Playoff-Playdowns'!H18</f>
        <v>5. Platz</v>
      </c>
      <c r="H145" t="s">
        <v>245</v>
      </c>
      <c r="I145" t="str">
        <f>Saisondaten!$D$12</f>
        <v>Duisburg</v>
      </c>
      <c r="J145" s="67">
        <f>Saisondaten!$B$12</f>
        <v>43357</v>
      </c>
    </row>
    <row r="146" spans="1:10" ht="15">
      <c r="A146">
        <f>'Playoff-Playdowns'!A19</f>
        <v>145</v>
      </c>
      <c r="B146" t="str">
        <f>'Playoff-Playdowns'!B19</f>
        <v>T</v>
      </c>
      <c r="C146">
        <f>'Playoff-Playdowns'!C19</f>
        <v>1</v>
      </c>
      <c r="D146" s="66">
        <f>'Playoff-Playdowns'!D19</f>
        <v>0.6666666666666667</v>
      </c>
      <c r="E146" t="str">
        <f>'Playoff-Playdowns'!E19</f>
        <v>Tab. AS</v>
      </c>
      <c r="F146" t="str">
        <f>'Playoff-Playdowns'!F19</f>
        <v>12. Platz</v>
      </c>
      <c r="G146" t="str">
        <f>'Playoff-Playdowns'!H19</f>
        <v>10. Platz</v>
      </c>
      <c r="H146" t="s">
        <v>248</v>
      </c>
      <c r="I146" t="str">
        <f>Saisondaten!$D$12</f>
        <v>Duisburg</v>
      </c>
      <c r="J146" s="67">
        <f>Saisondaten!$B$12</f>
        <v>43357</v>
      </c>
    </row>
    <row r="147" spans="1:10" ht="15">
      <c r="A147">
        <f>'Playoff-Playdowns'!A20</f>
        <v>146</v>
      </c>
      <c r="B147" t="str">
        <f>'Playoff-Playdowns'!B20</f>
        <v>E</v>
      </c>
      <c r="C147">
        <f>'Playoff-Playdowns'!C20</f>
        <v>1</v>
      </c>
      <c r="D147" s="66">
        <f>'Playoff-Playdowns'!D20</f>
        <v>0.6944444444444445</v>
      </c>
      <c r="E147" t="str">
        <f>'Playoff-Playdowns'!E20</f>
        <v>P/O 1A 3</v>
      </c>
      <c r="F147" t="str">
        <f>'Playoff-Playdowns'!F20</f>
        <v>1. Platz</v>
      </c>
      <c r="G147" t="str">
        <f>'Playoff-Playdowns'!H20</f>
        <v>8. Platz</v>
      </c>
      <c r="H147" t="s">
        <v>245</v>
      </c>
      <c r="I147" t="str">
        <f>Saisondaten!$D$12</f>
        <v>Duisburg</v>
      </c>
      <c r="J147" s="67">
        <f>Saisondaten!$B$12</f>
        <v>43357</v>
      </c>
    </row>
    <row r="148" spans="1:10" ht="15">
      <c r="A148">
        <f>'Playoff-Playdowns'!A21</f>
        <v>147</v>
      </c>
      <c r="B148" t="str">
        <f>'Playoff-Playdowns'!B21</f>
        <v>E</v>
      </c>
      <c r="C148">
        <f>'Playoff-Playdowns'!C21</f>
        <v>1</v>
      </c>
      <c r="D148" s="66">
        <f>'Playoff-Playdowns'!D21</f>
        <v>0.7222222222222223</v>
      </c>
      <c r="E148" t="str">
        <f>'Playoff-Playdowns'!E21</f>
        <v>P/O 1B 3</v>
      </c>
      <c r="F148" t="str">
        <f>'Playoff-Playdowns'!F21</f>
        <v>2. Platz</v>
      </c>
      <c r="G148" t="str">
        <f>'Playoff-Playdowns'!H21</f>
        <v>7. Platz</v>
      </c>
      <c r="H148" t="s">
        <v>245</v>
      </c>
      <c r="I148" t="str">
        <f>Saisondaten!$D$12</f>
        <v>Duisburg</v>
      </c>
      <c r="J148" s="67">
        <f>Saisondaten!$B$12</f>
        <v>43357</v>
      </c>
    </row>
    <row r="149" spans="1:10" ht="15">
      <c r="A149">
        <f>'Playoff-Playdowns'!A22</f>
        <v>148</v>
      </c>
      <c r="B149" t="str">
        <f>'Playoff-Playdowns'!B22</f>
        <v>T</v>
      </c>
      <c r="C149">
        <f>'Playoff-Playdowns'!C22</f>
        <v>1</v>
      </c>
      <c r="D149" s="66">
        <f>'Playoff-Playdowns'!D22</f>
        <v>0.7500000000000001</v>
      </c>
      <c r="E149" t="str">
        <f>'Playoff-Playdowns'!E22</f>
        <v>Tab. AS</v>
      </c>
      <c r="F149" t="str">
        <f>'Playoff-Playdowns'!F22</f>
        <v>9. Platz</v>
      </c>
      <c r="G149" t="str">
        <f>'Playoff-Playdowns'!H22</f>
        <v>11. Platz</v>
      </c>
      <c r="H149" t="s">
        <v>248</v>
      </c>
      <c r="I149" t="str">
        <f>Saisondaten!$D$12</f>
        <v>Duisburg</v>
      </c>
      <c r="J149" s="67">
        <f>Saisondaten!$B$12</f>
        <v>43357</v>
      </c>
    </row>
    <row r="150" spans="1:10" ht="15">
      <c r="A150">
        <f>'Playoff-Playdowns'!A23</f>
        <v>149</v>
      </c>
      <c r="B150" t="str">
        <f>'Playoff-Playdowns'!B23</f>
        <v>E</v>
      </c>
      <c r="C150">
        <f>'Playoff-Playdowns'!C23</f>
        <v>1</v>
      </c>
      <c r="D150" s="66">
        <f>'Playoff-Playdowns'!D23</f>
        <v>0.7777777777777779</v>
      </c>
      <c r="E150" t="str">
        <f>'Playoff-Playdowns'!E23</f>
        <v>P/O 1C 3</v>
      </c>
      <c r="F150" t="str">
        <f>'Playoff-Playdowns'!F23</f>
        <v>3. Platz</v>
      </c>
      <c r="G150" t="str">
        <f>'Playoff-Playdowns'!H23</f>
        <v>6. Platz</v>
      </c>
      <c r="H150" t="s">
        <v>245</v>
      </c>
      <c r="I150" t="str">
        <f>Saisondaten!$D$12</f>
        <v>Duisburg</v>
      </c>
      <c r="J150" s="67">
        <f>Saisondaten!$B$12</f>
        <v>43357</v>
      </c>
    </row>
    <row r="151" spans="1:10" ht="15">
      <c r="A151">
        <f>'Playoff-Playdowns'!A24</f>
        <v>150</v>
      </c>
      <c r="B151" t="str">
        <f>'Playoff-Playdowns'!B24</f>
        <v>E</v>
      </c>
      <c r="C151">
        <f>'Playoff-Playdowns'!C24</f>
        <v>1</v>
      </c>
      <c r="D151" s="66">
        <f>'Playoff-Playdowns'!D24</f>
        <v>0.8055555555555557</v>
      </c>
      <c r="E151" t="str">
        <f>'Playoff-Playdowns'!E24</f>
        <v>P/O 1D 3</v>
      </c>
      <c r="F151" t="str">
        <f>'Playoff-Playdowns'!F24</f>
        <v>4. Platz</v>
      </c>
      <c r="G151" t="str">
        <f>'Playoff-Playdowns'!H24</f>
        <v>5. Platz</v>
      </c>
      <c r="H151" t="s">
        <v>245</v>
      </c>
      <c r="I151" t="str">
        <f>Saisondaten!$D$12</f>
        <v>Duisburg</v>
      </c>
      <c r="J151" s="67">
        <f>Saisondaten!$B$12</f>
        <v>43357</v>
      </c>
    </row>
    <row r="152" spans="1:10" ht="15">
      <c r="A152">
        <f>'Playoff-Playdowns'!A27</f>
        <v>151</v>
      </c>
      <c r="B152" t="str">
        <f>'Playoff-Playdowns'!B27</f>
        <v>E</v>
      </c>
      <c r="C152">
        <f>'Playoff-Playdowns'!C27</f>
        <v>1</v>
      </c>
      <c r="D152" s="66">
        <f>'Playoff-Playdowns'!D27</f>
        <v>0.3333333333333333</v>
      </c>
      <c r="E152" t="str">
        <f>'Playoff-Playdowns'!E27</f>
        <v>P/O AS1</v>
      </c>
      <c r="F152" t="str">
        <f>'Playoff-Playdowns'!F27</f>
        <v>1. AS Tabelle</v>
      </c>
      <c r="G152" t="str">
        <f>'Playoff-Playdowns'!H27</f>
        <v>2. AS Tabelle</v>
      </c>
      <c r="H152" t="s">
        <v>248</v>
      </c>
      <c r="I152" t="str">
        <f>Saisondaten!$D$12</f>
        <v>Duisburg</v>
      </c>
      <c r="J152" s="67">
        <f>Saisondaten!$B$12+1</f>
        <v>43358</v>
      </c>
    </row>
    <row r="153" spans="1:10" ht="15">
      <c r="A153">
        <f>'Playoff-Playdowns'!A28</f>
        <v>152</v>
      </c>
      <c r="B153" t="str">
        <f>'Playoff-Playdowns'!B28</f>
        <v>E</v>
      </c>
      <c r="C153">
        <f>'Playoff-Playdowns'!C28</f>
        <v>1</v>
      </c>
      <c r="D153" s="66">
        <f>'Playoff-Playdowns'!D28</f>
        <v>0.3611111111111111</v>
      </c>
      <c r="E153" t="str">
        <f>'Playoff-Playdowns'!E28</f>
        <v>P/O AS2</v>
      </c>
      <c r="F153" t="str">
        <f>'Playoff-Playdowns'!F28</f>
        <v>3. AS Tabelle</v>
      </c>
      <c r="G153" t="str">
        <f>'Playoff-Playdowns'!H28</f>
        <v>4. AS Tabelle</v>
      </c>
      <c r="H153" t="s">
        <v>248</v>
      </c>
      <c r="I153" t="str">
        <f>Saisondaten!$D$12</f>
        <v>Duisburg</v>
      </c>
      <c r="J153" s="67">
        <f>Saisondaten!$B$12+1</f>
        <v>43358</v>
      </c>
    </row>
    <row r="154" spans="1:10" ht="15">
      <c r="A154">
        <f>'Playoff-Playdowns'!A29</f>
        <v>153</v>
      </c>
      <c r="B154" t="str">
        <f>'Playoff-Playdowns'!B29</f>
        <v>E</v>
      </c>
      <c r="C154">
        <f>'Playoff-Playdowns'!C29</f>
        <v>1</v>
      </c>
      <c r="D154" s="66">
        <f>'Playoff-Playdowns'!D29</f>
        <v>0.3888888888888889</v>
      </c>
      <c r="E154" t="str">
        <f>'Playoff-Playdowns'!E29</f>
        <v>P/O 2D 1</v>
      </c>
      <c r="F154" t="str">
        <f>'Playoff-Playdowns'!F29</f>
        <v>Verl. Playoff 1A</v>
      </c>
      <c r="G154" t="str">
        <f>'Playoff-Playdowns'!H29</f>
        <v>Verl. Playoff 1D</v>
      </c>
      <c r="H154" t="s">
        <v>245</v>
      </c>
      <c r="I154" t="str">
        <f>Saisondaten!$D$12</f>
        <v>Duisburg</v>
      </c>
      <c r="J154" s="67">
        <f>Saisondaten!$B$12+1</f>
        <v>43358</v>
      </c>
    </row>
    <row r="155" spans="1:10" ht="15">
      <c r="A155">
        <f>'Playoff-Playdowns'!A30</f>
        <v>154</v>
      </c>
      <c r="B155" t="str">
        <f>'Playoff-Playdowns'!B30</f>
        <v>E</v>
      </c>
      <c r="C155">
        <f>'Playoff-Playdowns'!C30</f>
        <v>1</v>
      </c>
      <c r="D155" s="66">
        <f>'Playoff-Playdowns'!D30</f>
        <v>0.4166666666666667</v>
      </c>
      <c r="E155" t="str">
        <f>'Playoff-Playdowns'!E30</f>
        <v>P/O 2C 1</v>
      </c>
      <c r="F155" t="str">
        <f>'Playoff-Playdowns'!F30</f>
        <v>Verl. Playoff 1B</v>
      </c>
      <c r="G155" t="str">
        <f>'Playoff-Playdowns'!H30</f>
        <v>Verl. Playoff 1C</v>
      </c>
      <c r="H155" t="s">
        <v>245</v>
      </c>
      <c r="I155" t="str">
        <f>Saisondaten!$D$12</f>
        <v>Duisburg</v>
      </c>
      <c r="J155" s="67">
        <f>Saisondaten!$B$12+1</f>
        <v>43358</v>
      </c>
    </row>
    <row r="156" spans="1:10" ht="15">
      <c r="A156">
        <f>'Playoff-Playdowns'!A31</f>
        <v>155</v>
      </c>
      <c r="B156" t="str">
        <f>'Playoff-Playdowns'!B31</f>
        <v>E</v>
      </c>
      <c r="C156">
        <f>'Playoff-Playdowns'!C31</f>
        <v>1</v>
      </c>
      <c r="D156" s="66">
        <f>'Playoff-Playdowns'!D31</f>
        <v>0.4444444444444445</v>
      </c>
      <c r="E156" t="str">
        <f>'Playoff-Playdowns'!E31</f>
        <v>P/O 2A 1</v>
      </c>
      <c r="F156" t="str">
        <f>'Playoff-Playdowns'!F31</f>
        <v>Gew. Playoff 1A</v>
      </c>
      <c r="G156" t="str">
        <f>'Playoff-Playdowns'!H31</f>
        <v>Gew. Playoff 1D</v>
      </c>
      <c r="H156" t="s">
        <v>245</v>
      </c>
      <c r="I156" t="str">
        <f>Saisondaten!$D$12</f>
        <v>Duisburg</v>
      </c>
      <c r="J156" s="67">
        <f>Saisondaten!$B$12+1</f>
        <v>43358</v>
      </c>
    </row>
    <row r="157" spans="1:10" ht="15">
      <c r="A157">
        <f>'Playoff-Playdowns'!A32</f>
        <v>156</v>
      </c>
      <c r="B157" t="str">
        <f>'Playoff-Playdowns'!B32</f>
        <v>E</v>
      </c>
      <c r="C157">
        <f>'Playoff-Playdowns'!C32</f>
        <v>1</v>
      </c>
      <c r="D157" s="66">
        <f>'Playoff-Playdowns'!D32</f>
        <v>0.47222222222222227</v>
      </c>
      <c r="E157" t="str">
        <f>'Playoff-Playdowns'!E32</f>
        <v>P/O 2B 1</v>
      </c>
      <c r="F157" t="str">
        <f>'Playoff-Playdowns'!F32</f>
        <v>Gew. Playoff 1B</v>
      </c>
      <c r="G157" t="str">
        <f>'Playoff-Playdowns'!H32</f>
        <v>Gew. Playoff 1C</v>
      </c>
      <c r="H157" t="s">
        <v>245</v>
      </c>
      <c r="I157" t="str">
        <f>Saisondaten!$D$12</f>
        <v>Duisburg</v>
      </c>
      <c r="J157" s="67">
        <f>Saisondaten!$B$12+1</f>
        <v>43358</v>
      </c>
    </row>
    <row r="158" spans="1:10" ht="15">
      <c r="A158">
        <f>'Playoff-Playdowns'!A33</f>
        <v>157</v>
      </c>
      <c r="B158" t="str">
        <f>'Playoff-Playdowns'!B33</f>
        <v>E</v>
      </c>
      <c r="C158">
        <f>'Playoff-Playdowns'!C33</f>
        <v>1</v>
      </c>
      <c r="D158" s="66">
        <f>'Playoff-Playdowns'!D33</f>
        <v>0.5</v>
      </c>
      <c r="E158" t="str">
        <f>'Playoff-Playdowns'!E33</f>
        <v>P/O AS3</v>
      </c>
      <c r="F158" t="str">
        <f>'Playoff-Playdowns'!F33</f>
        <v>Verl. Spiel 151</v>
      </c>
      <c r="G158" t="str">
        <f>'Playoff-Playdowns'!H33</f>
        <v>Gew. Spiel 152</v>
      </c>
      <c r="H158" t="s">
        <v>248</v>
      </c>
      <c r="I158" t="str">
        <f>Saisondaten!$D$12</f>
        <v>Duisburg</v>
      </c>
      <c r="J158" s="67">
        <f>Saisondaten!$B$12+1</f>
        <v>43358</v>
      </c>
    </row>
    <row r="159" spans="1:10" ht="15">
      <c r="A159">
        <f>'Playoff-Playdowns'!A34</f>
        <v>158</v>
      </c>
      <c r="B159" t="str">
        <f>'Playoff-Playdowns'!B34</f>
        <v>E</v>
      </c>
      <c r="C159">
        <f>'Playoff-Playdowns'!C34</f>
        <v>1</v>
      </c>
      <c r="D159" s="66">
        <f>'Playoff-Playdowns'!D34</f>
        <v>0.5277777777777778</v>
      </c>
      <c r="E159" t="str">
        <f>'Playoff-Playdowns'!E34</f>
        <v>P/O 2D 2</v>
      </c>
      <c r="F159" t="str">
        <f>'Playoff-Playdowns'!F34</f>
        <v>Verl. Playoff 1A</v>
      </c>
      <c r="G159" t="str">
        <f>'Playoff-Playdowns'!H34</f>
        <v>Verl. Playoff 1D</v>
      </c>
      <c r="H159" t="s">
        <v>245</v>
      </c>
      <c r="I159" t="str">
        <f>Saisondaten!$D$12</f>
        <v>Duisburg</v>
      </c>
      <c r="J159" s="67">
        <f>Saisondaten!$B$12+1</f>
        <v>43358</v>
      </c>
    </row>
    <row r="160" spans="1:10" ht="15">
      <c r="A160">
        <f>'Playoff-Playdowns'!A35</f>
        <v>159</v>
      </c>
      <c r="B160" t="str">
        <f>'Playoff-Playdowns'!B35</f>
        <v>E</v>
      </c>
      <c r="C160">
        <f>'Playoff-Playdowns'!C35</f>
        <v>1</v>
      </c>
      <c r="D160" s="66">
        <f>'Playoff-Playdowns'!D35</f>
        <v>0.5555555555555556</v>
      </c>
      <c r="E160" t="str">
        <f>'Playoff-Playdowns'!E35</f>
        <v>P/O 2C 2</v>
      </c>
      <c r="F160" t="str">
        <f>'Playoff-Playdowns'!F35</f>
        <v>Verl. Playoff 1B</v>
      </c>
      <c r="G160" t="str">
        <f>'Playoff-Playdowns'!H35</f>
        <v>Verl. Playoff 1C</v>
      </c>
      <c r="H160" t="s">
        <v>245</v>
      </c>
      <c r="I160" t="str">
        <f>Saisondaten!$D$12</f>
        <v>Duisburg</v>
      </c>
      <c r="J160" s="67">
        <f>Saisondaten!$B$12+1</f>
        <v>43358</v>
      </c>
    </row>
    <row r="161" spans="1:10" ht="15">
      <c r="A161">
        <f>'Playoff-Playdowns'!A36</f>
        <v>160</v>
      </c>
      <c r="B161" t="str">
        <f>'Playoff-Playdowns'!B36</f>
        <v>E</v>
      </c>
      <c r="C161">
        <f>'Playoff-Playdowns'!C36</f>
        <v>1</v>
      </c>
      <c r="D161" s="66">
        <f>'Playoff-Playdowns'!D36</f>
        <v>0.5833333333333334</v>
      </c>
      <c r="E161" t="str">
        <f>'Playoff-Playdowns'!E36</f>
        <v>P/O 2A 2</v>
      </c>
      <c r="F161" t="str">
        <f>'Playoff-Playdowns'!F36</f>
        <v>Gew. Playoff 1A</v>
      </c>
      <c r="G161" t="str">
        <f>'Playoff-Playdowns'!H36</f>
        <v>Gew. Playoff 1D</v>
      </c>
      <c r="H161" t="s">
        <v>245</v>
      </c>
      <c r="I161" t="str">
        <f>Saisondaten!$D$12</f>
        <v>Duisburg</v>
      </c>
      <c r="J161" s="67">
        <f>Saisondaten!$B$12+1</f>
        <v>43358</v>
      </c>
    </row>
    <row r="162" spans="1:10" ht="15">
      <c r="A162">
        <f>'Playoff-Playdowns'!A37</f>
        <v>161</v>
      </c>
      <c r="B162" t="str">
        <f>'Playoff-Playdowns'!B37</f>
        <v>E</v>
      </c>
      <c r="C162">
        <f>'Playoff-Playdowns'!C37</f>
        <v>1</v>
      </c>
      <c r="D162" s="66">
        <f>'Playoff-Playdowns'!D37</f>
        <v>0.6111111111111112</v>
      </c>
      <c r="E162" t="str">
        <f>'Playoff-Playdowns'!E37</f>
        <v>P/O 2B 2</v>
      </c>
      <c r="F162" t="str">
        <f>'Playoff-Playdowns'!F37</f>
        <v>Gew. Playoff 1B</v>
      </c>
      <c r="G162" t="str">
        <f>'Playoff-Playdowns'!H37</f>
        <v>Gew. Playoff 1C</v>
      </c>
      <c r="H162" t="s">
        <v>245</v>
      </c>
      <c r="I162" t="str">
        <f>Saisondaten!$D$12</f>
        <v>Duisburg</v>
      </c>
      <c r="J162" s="67">
        <f>Saisondaten!$B$12+1</f>
        <v>43358</v>
      </c>
    </row>
    <row r="163" spans="1:10" ht="15">
      <c r="A163">
        <f>'Playoff-Playdowns'!A38</f>
        <v>162</v>
      </c>
      <c r="B163" t="str">
        <f>'Playoff-Playdowns'!B38</f>
        <v>E</v>
      </c>
      <c r="C163">
        <f>'Playoff-Playdowns'!C38</f>
        <v>1</v>
      </c>
      <c r="D163" s="66">
        <f>'Playoff-Playdowns'!D38</f>
        <v>0.638888888888889</v>
      </c>
      <c r="E163" t="str">
        <f>'Playoff-Playdowns'!E38</f>
        <v>9. Platz</v>
      </c>
      <c r="F163" t="str">
        <f>'Playoff-Playdowns'!F38</f>
        <v>Gew. Spiel 151</v>
      </c>
      <c r="G163" t="str">
        <f>'Playoff-Playdowns'!H38</f>
        <v>Gew. Spiel 157</v>
      </c>
      <c r="H163" t="s">
        <v>245</v>
      </c>
      <c r="I163" t="str">
        <f>Saisondaten!$D$12</f>
        <v>Duisburg</v>
      </c>
      <c r="J163" s="67">
        <f>Saisondaten!$B$12+1</f>
        <v>43358</v>
      </c>
    </row>
    <row r="164" spans="1:10" ht="15">
      <c r="A164">
        <f>'Playoff-Playdowns'!A39</f>
        <v>163</v>
      </c>
      <c r="B164" t="str">
        <f>'Playoff-Playdowns'!B39</f>
        <v>E</v>
      </c>
      <c r="C164">
        <f>'Playoff-Playdowns'!C39</f>
        <v>1</v>
      </c>
      <c r="D164" s="66">
        <f>'Playoff-Playdowns'!D39</f>
        <v>0.6666666666666667</v>
      </c>
      <c r="E164" t="str">
        <f>'Playoff-Playdowns'!E39</f>
        <v>P/O 2D 3</v>
      </c>
      <c r="F164" t="str">
        <f>'Playoff-Playdowns'!F39</f>
        <v>Verl. Playoff 1A</v>
      </c>
      <c r="G164" t="str">
        <f>'Playoff-Playdowns'!H39</f>
        <v>Verl. Playoff 1D</v>
      </c>
      <c r="H164" t="s">
        <v>245</v>
      </c>
      <c r="I164" t="str">
        <f>Saisondaten!$D$12</f>
        <v>Duisburg</v>
      </c>
      <c r="J164" s="67">
        <f>Saisondaten!$B$12+1</f>
        <v>43358</v>
      </c>
    </row>
    <row r="165" spans="1:10" ht="15">
      <c r="A165">
        <f>'Playoff-Playdowns'!A40</f>
        <v>164</v>
      </c>
      <c r="B165" t="str">
        <f>'Playoff-Playdowns'!B40</f>
        <v>E</v>
      </c>
      <c r="C165">
        <f>'Playoff-Playdowns'!C40</f>
        <v>1</v>
      </c>
      <c r="D165" s="66">
        <f>'Playoff-Playdowns'!D40</f>
        <v>0.6944444444444445</v>
      </c>
      <c r="E165" t="str">
        <f>'Playoff-Playdowns'!E40</f>
        <v>P/O 2C 3</v>
      </c>
      <c r="F165" t="str">
        <f>'Playoff-Playdowns'!F40</f>
        <v>Verl. Playoff 1B</v>
      </c>
      <c r="G165" t="str">
        <f>'Playoff-Playdowns'!H40</f>
        <v>Verl. Playoff 1C</v>
      </c>
      <c r="H165" t="s">
        <v>245</v>
      </c>
      <c r="I165" t="str">
        <f>Saisondaten!$D$12</f>
        <v>Duisburg</v>
      </c>
      <c r="J165" s="67">
        <f>Saisondaten!$B$12+1</f>
        <v>43358</v>
      </c>
    </row>
    <row r="166" spans="1:10" ht="15">
      <c r="A166">
        <f>'Playoff-Playdowns'!A41</f>
        <v>165</v>
      </c>
      <c r="B166" t="str">
        <f>'Playoff-Playdowns'!B41</f>
        <v>E</v>
      </c>
      <c r="C166">
        <f>'Playoff-Playdowns'!C41</f>
        <v>1</v>
      </c>
      <c r="D166" s="66">
        <f>'Playoff-Playdowns'!D41</f>
        <v>0.7222222222222223</v>
      </c>
      <c r="E166" t="str">
        <f>'Playoff-Playdowns'!E41</f>
        <v>P/O 2A 3</v>
      </c>
      <c r="F166" t="str">
        <f>'Playoff-Playdowns'!F41</f>
        <v>Gew. Playoff 1A</v>
      </c>
      <c r="G166" t="str">
        <f>'Playoff-Playdowns'!H41</f>
        <v>Gew. Playoff 1D</v>
      </c>
      <c r="H166" t="s">
        <v>245</v>
      </c>
      <c r="I166" t="str">
        <f>Saisondaten!$D$12</f>
        <v>Duisburg</v>
      </c>
      <c r="J166" s="67">
        <f>Saisondaten!$B$12+1</f>
        <v>43358</v>
      </c>
    </row>
    <row r="167" spans="1:10" ht="15">
      <c r="A167">
        <f>'Playoff-Playdowns'!A42</f>
        <v>166</v>
      </c>
      <c r="B167" t="str">
        <f>'Playoff-Playdowns'!B42</f>
        <v>E</v>
      </c>
      <c r="C167">
        <f>'Playoff-Playdowns'!C42</f>
        <v>1</v>
      </c>
      <c r="D167" s="66">
        <f>'Playoff-Playdowns'!D42</f>
        <v>0.7500000000000001</v>
      </c>
      <c r="E167" t="str">
        <f>'Playoff-Playdowns'!E42</f>
        <v>P/O 2B 3</v>
      </c>
      <c r="F167" t="str">
        <f>'Playoff-Playdowns'!F42</f>
        <v>Gew. Playoff 1B</v>
      </c>
      <c r="G167" t="str">
        <f>'Playoff-Playdowns'!H42</f>
        <v>Gew. Playoff 1C</v>
      </c>
      <c r="H167" t="s">
        <v>245</v>
      </c>
      <c r="I167" t="str">
        <f>Saisondaten!$D$12</f>
        <v>Duisburg</v>
      </c>
      <c r="J167" s="67">
        <f>Saisondaten!$B$12+1</f>
        <v>43358</v>
      </c>
    </row>
    <row r="168" spans="1:10" ht="15">
      <c r="A168">
        <f>'Playoff-Playdowns'!A43</f>
        <v>167</v>
      </c>
      <c r="B168" t="str">
        <f>'Playoff-Playdowns'!B43</f>
        <v>E</v>
      </c>
      <c r="C168">
        <f>'Playoff-Playdowns'!C43</f>
        <v>1</v>
      </c>
      <c r="D168" s="66">
        <f>'Playoff-Playdowns'!D43</f>
        <v>0.7777777777777779</v>
      </c>
      <c r="E168" t="str">
        <f>'Playoff-Playdowns'!E43</f>
        <v>7. Platz</v>
      </c>
      <c r="F168" t="str">
        <f>'Playoff-Playdowns'!F43</f>
        <v>Verl. Playoff 2C</v>
      </c>
      <c r="G168" t="str">
        <f>'Playoff-Playdowns'!H43</f>
        <v>Ver. Playoff 2D</v>
      </c>
      <c r="H168" t="s">
        <v>245</v>
      </c>
      <c r="I168" t="str">
        <f>Saisondaten!$D$12</f>
        <v>Duisburg</v>
      </c>
      <c r="J168" s="67">
        <f>Saisondaten!$B$12+1</f>
        <v>43358</v>
      </c>
    </row>
    <row r="169" spans="1:10" ht="15">
      <c r="A169">
        <f>'Playoff-Playdowns'!A44</f>
        <v>168</v>
      </c>
      <c r="B169" t="str">
        <f>'Playoff-Playdowns'!B44</f>
        <v>E</v>
      </c>
      <c r="C169">
        <f>'Playoff-Playdowns'!C44</f>
        <v>1</v>
      </c>
      <c r="D169" s="66">
        <f>'Playoff-Playdowns'!D44</f>
        <v>0.8055555555555557</v>
      </c>
      <c r="E169" t="str">
        <f>'Playoff-Playdowns'!E44</f>
        <v>5. Platz</v>
      </c>
      <c r="F169" t="str">
        <f>'Playoff-Playdowns'!F44</f>
        <v>Gew. Playoff 2C</v>
      </c>
      <c r="G169" t="str">
        <f>'Playoff-Playdowns'!H44</f>
        <v>Gew. Playoff 2D</v>
      </c>
      <c r="H169" t="s">
        <v>245</v>
      </c>
      <c r="I169" t="str">
        <f>Saisondaten!$D$12</f>
        <v>Duisburg</v>
      </c>
      <c r="J169" s="67">
        <f>Saisondaten!$B$12+1</f>
        <v>43358</v>
      </c>
    </row>
    <row r="170" spans="1:10" ht="15">
      <c r="A170">
        <f>'Playoff-Playdowns'!A47</f>
        <v>169</v>
      </c>
      <c r="B170" t="str">
        <f>'Playoff-Playdowns'!B47</f>
        <v>E</v>
      </c>
      <c r="C170">
        <f>'Playoff-Playdowns'!C47</f>
        <v>1</v>
      </c>
      <c r="D170" s="66">
        <f>'Playoff-Playdowns'!D47</f>
        <v>0.3333333333333333</v>
      </c>
      <c r="E170" t="str">
        <f>'Playoff-Playdowns'!E47</f>
        <v>3. Platz /1</v>
      </c>
      <c r="F170" t="str">
        <f>'Playoff-Playdowns'!F47</f>
        <v>Verl. Playoff 2A</v>
      </c>
      <c r="G170" t="str">
        <f>'Playoff-Playdowns'!H47</f>
        <v>Verl. Playoff 2B</v>
      </c>
      <c r="H170" t="s">
        <v>245</v>
      </c>
      <c r="I170" t="str">
        <f>Saisondaten!$D$12</f>
        <v>Duisburg</v>
      </c>
      <c r="J170" s="67">
        <f>Saisondaten!$C$12</f>
        <v>43359</v>
      </c>
    </row>
    <row r="171" spans="1:10" ht="15">
      <c r="A171">
        <f>'Playoff-Playdowns'!A48</f>
        <v>170</v>
      </c>
      <c r="B171" t="str">
        <f>'Playoff-Playdowns'!B48</f>
        <v>E</v>
      </c>
      <c r="C171">
        <f>'Playoff-Playdowns'!C48</f>
        <v>1</v>
      </c>
      <c r="D171" s="66">
        <f>'Playoff-Playdowns'!D48</f>
        <v>0.3888888888888889</v>
      </c>
      <c r="E171" t="str">
        <f>'Playoff-Playdowns'!E48</f>
        <v>Finale /1</v>
      </c>
      <c r="F171" t="str">
        <f>'Playoff-Playdowns'!F48</f>
        <v>Gew. Playoff 2A</v>
      </c>
      <c r="G171" t="str">
        <f>'Playoff-Playdowns'!H48</f>
        <v>Gew. Playoff 2B</v>
      </c>
      <c r="H171" t="s">
        <v>245</v>
      </c>
      <c r="I171" t="str">
        <f>Saisondaten!$D$12</f>
        <v>Duisburg</v>
      </c>
      <c r="J171" s="67">
        <f>Saisondaten!$C$12</f>
        <v>43359</v>
      </c>
    </row>
    <row r="172" spans="1:10" ht="15">
      <c r="A172">
        <f>'Playoff-Playdowns'!A49</f>
        <v>171</v>
      </c>
      <c r="B172" t="str">
        <f>'Playoff-Playdowns'!B49</f>
        <v>E</v>
      </c>
      <c r="C172">
        <f>'Playoff-Playdowns'!C49</f>
        <v>1</v>
      </c>
      <c r="D172" s="66">
        <f>'Playoff-Playdowns'!D49</f>
        <v>0.4166666666666667</v>
      </c>
      <c r="E172" t="str">
        <f>'Playoff-Playdowns'!E49</f>
        <v>3. Platz /2</v>
      </c>
      <c r="F172" t="str">
        <f>'Playoff-Playdowns'!F49</f>
        <v>Verl. Playoff 2A</v>
      </c>
      <c r="G172" t="str">
        <f>'Playoff-Playdowns'!H49</f>
        <v>Verl. Playoff 2B</v>
      </c>
      <c r="H172" t="s">
        <v>245</v>
      </c>
      <c r="I172" t="str">
        <f>Saisondaten!$D$12</f>
        <v>Duisburg</v>
      </c>
      <c r="J172" s="67">
        <f>Saisondaten!$C$12</f>
        <v>43359</v>
      </c>
    </row>
    <row r="173" spans="1:10" ht="15">
      <c r="A173" s="149" t="str">
        <f>'Playoff-Playdowns'!A50</f>
        <v>171a</v>
      </c>
      <c r="B173" t="str">
        <f>'Playoff-Playdowns'!B50</f>
        <v>E</v>
      </c>
      <c r="C173">
        <f>'Playoff-Playdowns'!C50</f>
        <v>1</v>
      </c>
      <c r="D173" s="66">
        <f>'Playoff-Playdowns'!D50</f>
        <v>0.4375</v>
      </c>
      <c r="E173" t="str">
        <f>'Playoff-Playdowns'!E50</f>
        <v>3. Platz /3</v>
      </c>
      <c r="F173" t="str">
        <f>'Playoff-Playdowns'!F50</f>
        <v>Verl. Playoff 2A</v>
      </c>
      <c r="G173" t="str">
        <f>'Playoff-Playdowns'!H50</f>
        <v>Verl. Playoff 2B</v>
      </c>
      <c r="H173" t="s">
        <v>245</v>
      </c>
      <c r="I173" t="str">
        <f>Saisondaten!$D$12</f>
        <v>Duisburg</v>
      </c>
      <c r="J173" s="67">
        <f>Saisondaten!$C$12</f>
        <v>43359</v>
      </c>
    </row>
    <row r="174" spans="1:10" ht="15">
      <c r="A174" s="149">
        <f>'Playoff-Playdowns'!A51</f>
        <v>172</v>
      </c>
      <c r="B174" t="str">
        <f>'Playoff-Playdowns'!B51</f>
        <v>E</v>
      </c>
      <c r="C174">
        <f>'Playoff-Playdowns'!C51</f>
        <v>1</v>
      </c>
      <c r="D174" s="66">
        <f>'Playoff-Playdowns'!D51</f>
        <v>0.5555555555555556</v>
      </c>
      <c r="E174" t="str">
        <f>'Playoff-Playdowns'!E51</f>
        <v>Finale /2</v>
      </c>
      <c r="F174" t="str">
        <f>'Playoff-Playdowns'!F51</f>
        <v>Gew. Playoff 2A</v>
      </c>
      <c r="G174" t="str">
        <f>'Playoff-Playdowns'!H51</f>
        <v>Gew. Playoff 2B</v>
      </c>
      <c r="H174" t="s">
        <v>245</v>
      </c>
      <c r="I174" t="str">
        <f>Saisondaten!$D$12</f>
        <v>Duisburg</v>
      </c>
      <c r="J174" s="67">
        <f>Saisondaten!$C$12</f>
        <v>43359</v>
      </c>
    </row>
    <row r="175" spans="1:10" ht="15">
      <c r="A175" s="149" t="str">
        <f>'Playoff-Playdowns'!A52</f>
        <v>172a</v>
      </c>
      <c r="B175" t="str">
        <f>'Playoff-Playdowns'!B52</f>
        <v>E</v>
      </c>
      <c r="C175">
        <f>'Playoff-Playdowns'!C52</f>
        <v>1</v>
      </c>
      <c r="D175" s="66">
        <f>'Playoff-Playdowns'!D52</f>
        <v>0.5833333333333334</v>
      </c>
      <c r="E175" t="str">
        <f>'Playoff-Playdowns'!E52</f>
        <v>Finale /3</v>
      </c>
      <c r="F175" t="str">
        <f>'Playoff-Playdowns'!F52</f>
        <v>Gew. Playoff 2A</v>
      </c>
      <c r="G175" t="str">
        <f>'Playoff-Playdowns'!H52</f>
        <v>Gew. Playoff 2B</v>
      </c>
      <c r="H175" t="s">
        <v>245</v>
      </c>
      <c r="I175" t="str">
        <f>Saisondaten!$D$12</f>
        <v>Duisburg</v>
      </c>
      <c r="J175" s="67">
        <f>Saisondaten!$C$12</f>
        <v>43359</v>
      </c>
    </row>
    <row r="176" spans="4:10" ht="15">
      <c r="D176" s="66"/>
      <c r="J176" s="67"/>
    </row>
    <row r="177" spans="4:10" ht="15">
      <c r="D177" s="66"/>
      <c r="J177" s="67"/>
    </row>
    <row r="178" spans="4:10" ht="15">
      <c r="D178" s="66"/>
      <c r="J178" s="67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94"/>
  <sheetViews>
    <sheetView zoomScalePageLayoutView="0" workbookViewId="0" topLeftCell="A67">
      <selection activeCell="J31" sqref="J31"/>
    </sheetView>
  </sheetViews>
  <sheetFormatPr defaultColWidth="11.421875" defaultRowHeight="15"/>
  <cols>
    <col min="1" max="1" width="11.421875" style="0" customWidth="1"/>
    <col min="2" max="2" width="8.8515625" style="0" bestFit="1" customWidth="1"/>
    <col min="3" max="3" width="5.28125" style="0" bestFit="1" customWidth="1"/>
    <col min="4" max="4" width="15.28125" style="0" bestFit="1" customWidth="1"/>
    <col min="5" max="5" width="7.8515625" style="0" bestFit="1" customWidth="1"/>
    <col min="6" max="6" width="3.140625" style="0" bestFit="1" customWidth="1"/>
    <col min="7" max="7" width="2.421875" style="0" bestFit="1" customWidth="1"/>
    <col min="8" max="8" width="3.140625" style="0" bestFit="1" customWidth="1"/>
    <col min="9" max="10" width="4.140625" style="0" bestFit="1" customWidth="1"/>
    <col min="11" max="11" width="11.421875" style="0" customWidth="1"/>
    <col min="12" max="13" width="2.28125" style="0" bestFit="1" customWidth="1"/>
    <col min="14" max="14" width="10.7109375" style="0" bestFit="1" customWidth="1"/>
    <col min="15" max="15" width="18.140625" style="0" bestFit="1" customWidth="1"/>
    <col min="16" max="16" width="10.7109375" style="0" bestFit="1" customWidth="1"/>
    <col min="17" max="17" width="10.28125" style="0" bestFit="1" customWidth="1"/>
    <col min="18" max="18" width="10.7109375" style="0" bestFit="1" customWidth="1"/>
    <col min="19" max="19" width="10.28125" style="0" bestFit="1" customWidth="1"/>
    <col min="20" max="21" width="4.7109375" style="0" bestFit="1" customWidth="1"/>
    <col min="22" max="22" width="3.57421875" style="0" bestFit="1" customWidth="1"/>
    <col min="23" max="23" width="12.8515625" style="0" bestFit="1" customWidth="1"/>
    <col min="24" max="24" width="3.57421875" style="0" bestFit="1" customWidth="1"/>
    <col min="25" max="25" width="2.28125" style="0" bestFit="1" customWidth="1"/>
    <col min="26" max="26" width="12.8515625" style="0" bestFit="1" customWidth="1"/>
    <col min="27" max="27" width="3.57421875" style="0" bestFit="1" customWidth="1"/>
    <col min="28" max="28" width="2.28125" style="0" bestFit="1" customWidth="1"/>
    <col min="29" max="29" width="12.8515625" style="0" bestFit="1" customWidth="1"/>
    <col min="30" max="30" width="3.57421875" style="0" bestFit="1" customWidth="1"/>
    <col min="31" max="31" width="2.28125" style="0" bestFit="1" customWidth="1"/>
    <col min="32" max="32" width="12.8515625" style="0" bestFit="1" customWidth="1"/>
    <col min="33" max="33" width="3.57421875" style="0" bestFit="1" customWidth="1"/>
    <col min="34" max="34" width="2.28125" style="0" bestFit="1" customWidth="1"/>
    <col min="35" max="35" width="12.8515625" style="0" bestFit="1" customWidth="1"/>
    <col min="36" max="36" width="3.57421875" style="0" bestFit="1" customWidth="1"/>
    <col min="37" max="37" width="2.28125" style="0" bestFit="1" customWidth="1"/>
    <col min="38" max="38" width="12.8515625" style="0" bestFit="1" customWidth="1"/>
    <col min="39" max="39" width="3.57421875" style="0" bestFit="1" customWidth="1"/>
    <col min="40" max="40" width="2.28125" style="0" bestFit="1" customWidth="1"/>
    <col min="41" max="41" width="12.8515625" style="0" bestFit="1" customWidth="1"/>
    <col min="42" max="42" width="3.57421875" style="0" bestFit="1" customWidth="1"/>
    <col min="43" max="43" width="2.28125" style="0" bestFit="1" customWidth="1"/>
    <col min="44" max="44" width="12.8515625" style="0" bestFit="1" customWidth="1"/>
    <col min="45" max="45" width="3.57421875" style="0" bestFit="1" customWidth="1"/>
    <col min="46" max="46" width="2.28125" style="0" bestFit="1" customWidth="1"/>
    <col min="47" max="47" width="12.8515625" style="0" bestFit="1" customWidth="1"/>
    <col min="48" max="48" width="3.57421875" style="0" bestFit="1" customWidth="1"/>
    <col min="49" max="49" width="2.28125" style="0" bestFit="1" customWidth="1"/>
    <col min="50" max="50" width="12.8515625" style="0" bestFit="1" customWidth="1"/>
    <col min="51" max="51" width="3.57421875" style="0" bestFit="1" customWidth="1"/>
    <col min="52" max="52" width="2.28125" style="0" bestFit="1" customWidth="1"/>
    <col min="53" max="53" width="12.8515625" style="0" bestFit="1" customWidth="1"/>
    <col min="54" max="54" width="3.57421875" style="0" bestFit="1" customWidth="1"/>
    <col min="55" max="55" width="2.28125" style="0" bestFit="1" customWidth="1"/>
    <col min="56" max="56" width="12.8515625" style="0" bestFit="1" customWidth="1"/>
    <col min="57" max="57" width="3.57421875" style="0" bestFit="1" customWidth="1"/>
  </cols>
  <sheetData>
    <row r="1" spans="4:10" ht="15"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1:10" ht="15">
      <c r="A2" t="s">
        <v>18</v>
      </c>
      <c r="B2" t="s">
        <v>17</v>
      </c>
      <c r="C2" t="s">
        <v>70</v>
      </c>
      <c r="D2" t="s">
        <v>45</v>
      </c>
      <c r="E2" t="s">
        <v>8</v>
      </c>
      <c r="F2" t="s">
        <v>54</v>
      </c>
      <c r="G2" t="s">
        <v>47</v>
      </c>
      <c r="H2" t="s">
        <v>53</v>
      </c>
      <c r="I2" t="s">
        <v>50</v>
      </c>
      <c r="J2" t="s">
        <v>23</v>
      </c>
    </row>
    <row r="3" spans="1:10" ht="15">
      <c r="A3" t="s">
        <v>1</v>
      </c>
      <c r="B3">
        <v>1</v>
      </c>
      <c r="C3">
        <v>1</v>
      </c>
      <c r="D3" t="str">
        <f>VLOOKUP($C3,'1.Spieltag'!$AD$40:$AK$51,D$1,FALSE)</f>
        <v>KRM Essen</v>
      </c>
      <c r="E3" t="str">
        <f>VLOOKUP($C3,'1.Spieltag'!$AD$40:$AK$51,E$1,FALSE)</f>
        <v>A</v>
      </c>
      <c r="F3">
        <f>VLOOKUP($C3,'1.Spieltag'!$AD$40:$AK$51,F$1,FALSE)</f>
        <v>4</v>
      </c>
      <c r="G3">
        <f>VLOOKUP($C3,'1.Spieltag'!$AD$40:$AK$51,G$1,FALSE)</f>
        <v>1</v>
      </c>
      <c r="H3">
        <f>VLOOKUP($C3,'1.Spieltag'!$AD$40:$AK$51,H$1,FALSE)</f>
        <v>0</v>
      </c>
      <c r="I3">
        <f>VLOOKUP($C3,'1.Spieltag'!$AD$40:$AK$51,I$1,FALSE)</f>
        <v>28</v>
      </c>
      <c r="J3">
        <f>VLOOKUP($C3,'1.Spieltag'!$AD$40:$AK$51,J$1,FALSE)</f>
        <v>9</v>
      </c>
    </row>
    <row r="4" spans="1:21" ht="15">
      <c r="A4" t="s">
        <v>1</v>
      </c>
      <c r="B4">
        <v>2</v>
      </c>
      <c r="C4">
        <v>2</v>
      </c>
      <c r="D4" t="str">
        <f>VLOOKUP($C4,'1.Spieltag'!$AD$40:$AK$51,D$1,FALSE)</f>
        <v>RSV Hannover</v>
      </c>
      <c r="E4" t="str">
        <f>VLOOKUP($C4,'1.Spieltag'!$AD$40:$AK$51,E$1,FALSE)</f>
        <v>B</v>
      </c>
      <c r="F4">
        <f>VLOOKUP($C4,'1.Spieltag'!$AD$40:$AK$51,F$1,FALSE)</f>
        <v>4</v>
      </c>
      <c r="G4">
        <f>VLOOKUP($C4,'1.Spieltag'!$AD$40:$AK$51,G$1,FALSE)</f>
        <v>0</v>
      </c>
      <c r="H4">
        <f>VLOOKUP($C4,'1.Spieltag'!$AD$40:$AK$51,H$1,FALSE)</f>
        <v>1</v>
      </c>
      <c r="I4">
        <f>VLOOKUP($C4,'1.Spieltag'!$AD$40:$AK$51,I$1,FALSE)</f>
        <v>20</v>
      </c>
      <c r="J4">
        <f>VLOOKUP($C4,'1.Spieltag'!$AD$40:$AK$51,J$1,FALSE)</f>
        <v>7</v>
      </c>
      <c r="N4" t="s">
        <v>63</v>
      </c>
      <c r="Q4">
        <v>3</v>
      </c>
      <c r="R4">
        <v>4</v>
      </c>
      <c r="S4">
        <v>5</v>
      </c>
      <c r="T4">
        <v>6</v>
      </c>
      <c r="U4">
        <v>7</v>
      </c>
    </row>
    <row r="5" spans="1:57" ht="16.5">
      <c r="A5" t="s">
        <v>1</v>
      </c>
      <c r="B5">
        <v>3</v>
      </c>
      <c r="C5">
        <v>3</v>
      </c>
      <c r="D5" t="str">
        <f>VLOOKUP($C5,'1.Spieltag'!$AD$40:$AK$51,D$1,FALSE)</f>
        <v>KSVH Berlin</v>
      </c>
      <c r="E5" t="str">
        <f>VLOOKUP($C5,'1.Spieltag'!$AD$40:$AK$51,E$1,FALSE)</f>
        <v>B</v>
      </c>
      <c r="F5">
        <f>VLOOKUP($C5,'1.Spieltag'!$AD$40:$AK$51,F$1,FALSE)</f>
        <v>4</v>
      </c>
      <c r="G5">
        <f>VLOOKUP($C5,'1.Spieltag'!$AD$40:$AK$51,G$1,FALSE)</f>
        <v>0</v>
      </c>
      <c r="H5">
        <f>VLOOKUP($C5,'1.Spieltag'!$AD$40:$AK$51,H$1,FALSE)</f>
        <v>1</v>
      </c>
      <c r="I5">
        <f>VLOOKUP($C5,'1.Spieltag'!$AD$40:$AK$51,I$1,FALSE)</f>
        <v>22</v>
      </c>
      <c r="J5">
        <f>VLOOKUP($C5,'1.Spieltag'!$AD$40:$AK$51,J$1,FALSE)</f>
        <v>17</v>
      </c>
      <c r="N5" s="1" t="s">
        <v>70</v>
      </c>
      <c r="O5" s="63" t="s">
        <v>45</v>
      </c>
      <c r="P5" s="1" t="s">
        <v>8</v>
      </c>
      <c r="Q5" s="1" t="s">
        <v>54</v>
      </c>
      <c r="R5" s="1" t="s">
        <v>47</v>
      </c>
      <c r="S5" s="1" t="s">
        <v>53</v>
      </c>
      <c r="T5" s="1" t="s">
        <v>50</v>
      </c>
      <c r="U5" s="1" t="s">
        <v>23</v>
      </c>
      <c r="V5" s="1" t="s">
        <v>69</v>
      </c>
      <c r="W5" s="349" t="s">
        <v>71</v>
      </c>
      <c r="X5" s="349"/>
      <c r="Y5" s="349"/>
      <c r="Z5" s="34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6.5">
      <c r="A6" t="s">
        <v>1</v>
      </c>
      <c r="B6">
        <v>4</v>
      </c>
      <c r="C6">
        <v>4</v>
      </c>
      <c r="D6" t="str">
        <f>VLOOKUP($C6,'1.Spieltag'!$AD$40:$AK$51,D$1,FALSE)</f>
        <v>1. MKC Duisburg</v>
      </c>
      <c r="E6" t="str">
        <f>VLOOKUP($C6,'1.Spieltag'!$AD$40:$AK$51,E$1,FALSE)</f>
        <v>A</v>
      </c>
      <c r="F6">
        <f>VLOOKUP($C6,'1.Spieltag'!$AD$40:$AK$51,F$1,FALSE)</f>
        <v>3</v>
      </c>
      <c r="G6">
        <f>VLOOKUP($C6,'1.Spieltag'!$AD$40:$AK$51,G$1,FALSE)</f>
        <v>1</v>
      </c>
      <c r="H6">
        <f>VLOOKUP($C6,'1.Spieltag'!$AD$40:$AK$51,H$1,FALSE)</f>
        <v>1</v>
      </c>
      <c r="I6">
        <f>VLOOKUP($C6,'1.Spieltag'!$AD$40:$AK$51,I$1,FALSE)</f>
        <v>21</v>
      </c>
      <c r="J6">
        <f>VLOOKUP($C6,'1.Spieltag'!$AD$40:$AK$51,J$1,FALSE)</f>
        <v>13</v>
      </c>
      <c r="L6" t="s">
        <v>9</v>
      </c>
      <c r="M6">
        <f aca="true" t="shared" si="0" ref="M6:M11">RANK(N6,$N$6:$N$11,1)</f>
        <v>1</v>
      </c>
      <c r="N6" s="1">
        <f>RANK(BD6,$BD$6:$BD$17,0)</f>
        <v>1</v>
      </c>
      <c r="O6" s="1" t="str">
        <f>Saisondaten!B18</f>
        <v>KRM Essen</v>
      </c>
      <c r="P6" s="1" t="str">
        <f>Saisondaten!$B$17</f>
        <v>A</v>
      </c>
      <c r="Q6" s="1">
        <f>VLOOKUP($O6,$D$3:$J$14,Q$4,FALSE)+VLOOKUP($O6,$D$15:$J$26,Q$4,FALSE)</f>
        <v>9</v>
      </c>
      <c r="R6" s="1">
        <f aca="true" t="shared" si="1" ref="R6:U17">VLOOKUP($O6,$D$3:$J$14,R$4,FALSE)+VLOOKUP($O6,$D$15:$J$26,R$4,FALSE)</f>
        <v>1</v>
      </c>
      <c r="S6" s="1">
        <f t="shared" si="1"/>
        <v>1</v>
      </c>
      <c r="T6" s="1">
        <f t="shared" si="1"/>
        <v>63</v>
      </c>
      <c r="U6" s="1">
        <f t="shared" si="1"/>
        <v>26</v>
      </c>
      <c r="V6" s="1">
        <f>Q6*3+R6*1</f>
        <v>28</v>
      </c>
      <c r="W6" s="1">
        <f>V6*99999999+(T6-U6)*888888+T6*7777</f>
        <v>2833378779</v>
      </c>
      <c r="X6" s="1">
        <f>RANK(W6,W$6:W$17,0)</f>
        <v>1</v>
      </c>
      <c r="Y6" s="1">
        <f>IF(COUNTIF(X6:X$6,X6)&gt;1,1,0)</f>
        <v>0</v>
      </c>
      <c r="Z6" s="1">
        <f>Y6+W6</f>
        <v>2833378779</v>
      </c>
      <c r="AA6" s="1">
        <f>RANK(Z6,Z$6:Z$17,0)</f>
        <v>1</v>
      </c>
      <c r="AB6" s="1">
        <f>IF(COUNTIF(AA6:AA$6,AA6)&gt;1,1,0)</f>
        <v>0</v>
      </c>
      <c r="AC6" s="1">
        <f>AB6+Z6</f>
        <v>2833378779</v>
      </c>
      <c r="AD6" s="1">
        <f>RANK(AC6,AC$6:AC$17,0)</f>
        <v>1</v>
      </c>
      <c r="AE6" s="1">
        <f>IF(COUNTIF(AD6:AD$6,AD6)&gt;1,1,0)</f>
        <v>0</v>
      </c>
      <c r="AF6" s="1">
        <f>AE6+AC6</f>
        <v>2833378779</v>
      </c>
      <c r="AG6" s="1">
        <f>RANK(AF6,AF$6:AF$17,0)</f>
        <v>1</v>
      </c>
      <c r="AH6" s="1">
        <f>IF(COUNTIF(AG6:AG$6,AG6)&gt;1,1,0)</f>
        <v>0</v>
      </c>
      <c r="AI6" s="1">
        <f>AH6+AF6</f>
        <v>2833378779</v>
      </c>
      <c r="AJ6" s="1">
        <f>RANK(AI6,AI$6:AI$17,0)</f>
        <v>1</v>
      </c>
      <c r="AK6" s="1">
        <f>IF(COUNTIF(AJ6:AJ$6,AJ6)&gt;1,1,0)</f>
        <v>0</v>
      </c>
      <c r="AL6" s="1">
        <f>AK6+AI6</f>
        <v>2833378779</v>
      </c>
      <c r="AM6" s="1">
        <f>RANK(AL6,AL$6:AL$17,0)</f>
        <v>1</v>
      </c>
      <c r="AN6" s="1">
        <f>IF(COUNTIF(AM6:AM$6,AM6)&gt;1,1,0)</f>
        <v>0</v>
      </c>
      <c r="AO6" s="1">
        <f>AN6+AL6</f>
        <v>2833378779</v>
      </c>
      <c r="AP6" s="1">
        <f>RANK(AO6,AO$6:AO$17,0)</f>
        <v>1</v>
      </c>
      <c r="AQ6" s="1">
        <f>IF(COUNTIF(AP6:AP$6,AP6)&gt;1,1,0)</f>
        <v>0</v>
      </c>
      <c r="AR6" s="1">
        <f>AQ6+AO6</f>
        <v>2833378779</v>
      </c>
      <c r="AS6" s="1">
        <f>RANK(AR6,AR$6:AR$17,0)</f>
        <v>1</v>
      </c>
      <c r="AT6" s="1">
        <f>IF(COUNTIF(AS6:AS$6,AS6)&gt;1,1,0)</f>
        <v>0</v>
      </c>
      <c r="AU6" s="1">
        <f>AT6+AR6</f>
        <v>2833378779</v>
      </c>
      <c r="AV6" s="1">
        <f>RANK(AU6,AU$6:AU$17,0)</f>
        <v>1</v>
      </c>
      <c r="AW6" s="1">
        <f>IF(COUNTIF(AV6:AV$6,AV6)&gt;1,1,0)</f>
        <v>0</v>
      </c>
      <c r="AX6" s="1">
        <f>AW6+AU6</f>
        <v>2833378779</v>
      </c>
      <c r="AY6" s="1">
        <f>RANK(AX6,AX$6:AX$17,0)</f>
        <v>1</v>
      </c>
      <c r="AZ6" s="1">
        <f>IF(COUNTIF(AY6:AY$6,AY6)&gt;1,1,0)</f>
        <v>0</v>
      </c>
      <c r="BA6" s="1">
        <f>AZ6+AX6</f>
        <v>2833378779</v>
      </c>
      <c r="BB6" s="1">
        <f>RANK(BA6,BA$6:BA$17,0)</f>
        <v>1</v>
      </c>
      <c r="BC6" s="1">
        <f>IF(COUNTIF(BB6:BB$6,BB6)&gt;1,1,0)</f>
        <v>0</v>
      </c>
      <c r="BD6" s="1">
        <f>BC6+BA6</f>
        <v>2833378779</v>
      </c>
      <c r="BE6" s="1">
        <f>RANK(BD6,BD$6:BD$17,0)</f>
        <v>1</v>
      </c>
    </row>
    <row r="7" spans="1:57" ht="16.5">
      <c r="A7" t="s">
        <v>1</v>
      </c>
      <c r="B7">
        <v>5</v>
      </c>
      <c r="C7">
        <v>5</v>
      </c>
      <c r="D7" t="str">
        <f>VLOOKUP($C7,'1.Spieltag'!$AD$40:$AK$51,D$1,FALSE)</f>
        <v>WSF Liblar</v>
      </c>
      <c r="E7" t="str">
        <f>VLOOKUP($C7,'1.Spieltag'!$AD$40:$AK$51,E$1,FALSE)</f>
        <v>A</v>
      </c>
      <c r="F7">
        <f>VLOOKUP($C7,'1.Spieltag'!$AD$40:$AK$51,F$1,FALSE)</f>
        <v>3</v>
      </c>
      <c r="G7">
        <f>VLOOKUP($C7,'1.Spieltag'!$AD$40:$AK$51,G$1,FALSE)</f>
        <v>1</v>
      </c>
      <c r="H7">
        <f>VLOOKUP($C7,'1.Spieltag'!$AD$40:$AK$51,H$1,FALSE)</f>
        <v>1</v>
      </c>
      <c r="I7">
        <f>VLOOKUP($C7,'1.Spieltag'!$AD$40:$AK$51,I$1,FALSE)</f>
        <v>18</v>
      </c>
      <c r="J7">
        <f>VLOOKUP($C7,'1.Spieltag'!$AD$40:$AK$51,J$1,FALSE)</f>
        <v>16</v>
      </c>
      <c r="L7" t="s">
        <v>9</v>
      </c>
      <c r="M7">
        <f t="shared" si="0"/>
        <v>2</v>
      </c>
      <c r="N7" s="1">
        <f aca="true" t="shared" si="2" ref="N7:N17">RANK(BD7,$BD$6:$BD$17,0)</f>
        <v>2</v>
      </c>
      <c r="O7" s="1" t="str">
        <f>Saisondaten!B19</f>
        <v>WSF Liblar</v>
      </c>
      <c r="P7" s="1" t="str">
        <f>Saisondaten!$B$17</f>
        <v>A</v>
      </c>
      <c r="Q7" s="1">
        <f aca="true" t="shared" si="3" ref="Q7:Q17">VLOOKUP($O7,$D$3:$J$14,Q$4,FALSE)+VLOOKUP($O7,$D$15:$J$26,Q$4,FALSE)</f>
        <v>9</v>
      </c>
      <c r="R7" s="1">
        <f t="shared" si="1"/>
        <v>1</v>
      </c>
      <c r="S7" s="1">
        <f t="shared" si="1"/>
        <v>1</v>
      </c>
      <c r="T7" s="1">
        <f t="shared" si="1"/>
        <v>45</v>
      </c>
      <c r="U7" s="1">
        <f t="shared" si="1"/>
        <v>25</v>
      </c>
      <c r="V7" s="1">
        <f aca="true" t="shared" si="4" ref="V7:V17">Q7*3+R7*1</f>
        <v>28</v>
      </c>
      <c r="W7" s="1">
        <f aca="true" t="shared" si="5" ref="W7:W17">V7*99999999+(T7-U7)*888888+T7*7777</f>
        <v>2818127697</v>
      </c>
      <c r="X7" s="1">
        <f aca="true" t="shared" si="6" ref="X7:X17">RANK(W7,W$6:W$17,0)</f>
        <v>2</v>
      </c>
      <c r="Y7" s="1">
        <f>IF(COUNTIF(X$6:X7,X7)&gt;1,1,0)</f>
        <v>0</v>
      </c>
      <c r="Z7" s="1">
        <f aca="true" t="shared" si="7" ref="Z7:Z17">Y7+W7</f>
        <v>2818127697</v>
      </c>
      <c r="AA7" s="1">
        <f aca="true" t="shared" si="8" ref="AA7:AA17">RANK(Z7,Z$6:Z$17,0)</f>
        <v>2</v>
      </c>
      <c r="AB7" s="1">
        <f>IF(COUNTIF(AA$6:AA7,AA7)&gt;1,1,0)</f>
        <v>0</v>
      </c>
      <c r="AC7" s="1">
        <f aca="true" t="shared" si="9" ref="AC7:AC17">AB7+Z7</f>
        <v>2818127697</v>
      </c>
      <c r="AD7" s="1">
        <f aca="true" t="shared" si="10" ref="AD7:AD17">RANK(AC7,AC$6:AC$17,0)</f>
        <v>2</v>
      </c>
      <c r="AE7" s="1">
        <f>IF(COUNTIF(AD$6:AD7,AD7)&gt;1,1,0)</f>
        <v>0</v>
      </c>
      <c r="AF7" s="1">
        <f aca="true" t="shared" si="11" ref="AF7:AF17">AE7+AC7</f>
        <v>2818127697</v>
      </c>
      <c r="AG7" s="1">
        <f aca="true" t="shared" si="12" ref="AG7:AG17">RANK(AF7,AF$6:AF$17,0)</f>
        <v>2</v>
      </c>
      <c r="AH7" s="1">
        <f>IF(COUNTIF(AG$6:AG7,AG7)&gt;1,1,0)</f>
        <v>0</v>
      </c>
      <c r="AI7" s="1">
        <f aca="true" t="shared" si="13" ref="AI7:AI17">AH7+AF7</f>
        <v>2818127697</v>
      </c>
      <c r="AJ7" s="1">
        <f aca="true" t="shared" si="14" ref="AJ7:AJ17">RANK(AI7,AI$6:AI$17,0)</f>
        <v>2</v>
      </c>
      <c r="AK7" s="1">
        <f>IF(COUNTIF(AJ$6:AJ7,AJ7)&gt;1,1,0)</f>
        <v>0</v>
      </c>
      <c r="AL7" s="1">
        <f aca="true" t="shared" si="15" ref="AL7:AL17">AK7+AI7</f>
        <v>2818127697</v>
      </c>
      <c r="AM7" s="1">
        <f aca="true" t="shared" si="16" ref="AM7:AM17">RANK(AL7,AL$6:AL$17,0)</f>
        <v>2</v>
      </c>
      <c r="AN7" s="1">
        <f>IF(COUNTIF(AM$6:AM7,AM7)&gt;1,1,0)</f>
        <v>0</v>
      </c>
      <c r="AO7" s="1">
        <f aca="true" t="shared" si="17" ref="AO7:AO17">AN7+AL7</f>
        <v>2818127697</v>
      </c>
      <c r="AP7" s="1">
        <f aca="true" t="shared" si="18" ref="AP7:AP17">RANK(AO7,AO$6:AO$17,0)</f>
        <v>2</v>
      </c>
      <c r="AQ7" s="1">
        <f>IF(COUNTIF(AP$6:AP7,AP7)&gt;1,1,0)</f>
        <v>0</v>
      </c>
      <c r="AR7" s="1">
        <f aca="true" t="shared" si="19" ref="AR7:AR17">AQ7+AO7</f>
        <v>2818127697</v>
      </c>
      <c r="AS7" s="1">
        <f aca="true" t="shared" si="20" ref="AS7:AS17">RANK(AR7,AR$6:AR$17,0)</f>
        <v>2</v>
      </c>
      <c r="AT7" s="1">
        <f>IF(COUNTIF(AS$6:AS7,AS7)&gt;1,1,0)</f>
        <v>0</v>
      </c>
      <c r="AU7" s="1">
        <f aca="true" t="shared" si="21" ref="AU7:AU17">AT7+AR7</f>
        <v>2818127697</v>
      </c>
      <c r="AV7" s="1">
        <f aca="true" t="shared" si="22" ref="AV7:AV17">RANK(AU7,AU$6:AU$17,0)</f>
        <v>2</v>
      </c>
      <c r="AW7" s="1">
        <f>IF(COUNTIF(AV$6:AV7,AV7)&gt;1,1,0)</f>
        <v>0</v>
      </c>
      <c r="AX7" s="1">
        <f aca="true" t="shared" si="23" ref="AX7:AX17">AW7+AU7</f>
        <v>2818127697</v>
      </c>
      <c r="AY7" s="1">
        <f aca="true" t="shared" si="24" ref="AY7:AY17">RANK(AX7,AX$6:AX$17,0)</f>
        <v>2</v>
      </c>
      <c r="AZ7" s="1">
        <f>IF(COUNTIF(AY$6:AY7,AY7)&gt;1,1,0)</f>
        <v>0</v>
      </c>
      <c r="BA7" s="1">
        <f aca="true" t="shared" si="25" ref="BA7:BA17">AZ7+AX7</f>
        <v>2818127697</v>
      </c>
      <c r="BB7" s="1">
        <f aca="true" t="shared" si="26" ref="BB7:BB17">RANK(BA7,BA$6:BA$17,0)</f>
        <v>2</v>
      </c>
      <c r="BC7" s="1">
        <f>IF(COUNTIF(BB$6:BB7,BB7)&gt;1,1,0)</f>
        <v>0</v>
      </c>
      <c r="BD7" s="1">
        <f aca="true" t="shared" si="27" ref="BD7:BD17">BC7+BA7</f>
        <v>2818127697</v>
      </c>
      <c r="BE7" s="1">
        <f aca="true" t="shared" si="28" ref="BE7:BE17">RANK(BD7,BD$6:BD$17,0)</f>
        <v>2</v>
      </c>
    </row>
    <row r="8" spans="1:57" ht="16.5">
      <c r="A8" t="s">
        <v>1</v>
      </c>
      <c r="B8">
        <v>6</v>
      </c>
      <c r="C8">
        <v>6</v>
      </c>
      <c r="D8" t="str">
        <f>VLOOKUP($C8,'1.Spieltag'!$AD$40:$AK$51,D$1,FALSE)</f>
        <v>KCNW Berlin</v>
      </c>
      <c r="E8" t="str">
        <f>VLOOKUP($C8,'1.Spieltag'!$AD$40:$AK$51,E$1,FALSE)</f>
        <v>B</v>
      </c>
      <c r="F8">
        <f>VLOOKUP($C8,'1.Spieltag'!$AD$40:$AK$51,F$1,FALSE)</f>
        <v>3</v>
      </c>
      <c r="G8">
        <f>VLOOKUP($C8,'1.Spieltag'!$AD$40:$AK$51,G$1,FALSE)</f>
        <v>0</v>
      </c>
      <c r="H8">
        <f>VLOOKUP($C8,'1.Spieltag'!$AD$40:$AK$51,H$1,FALSE)</f>
        <v>2</v>
      </c>
      <c r="I8">
        <f>VLOOKUP($C8,'1.Spieltag'!$AD$40:$AK$51,I$1,FALSE)</f>
        <v>15</v>
      </c>
      <c r="J8">
        <f>VLOOKUP($C8,'1.Spieltag'!$AD$40:$AK$51,J$1,FALSE)</f>
        <v>12</v>
      </c>
      <c r="L8" t="s">
        <v>9</v>
      </c>
      <c r="M8">
        <f t="shared" si="0"/>
        <v>3</v>
      </c>
      <c r="N8" s="1">
        <f t="shared" si="2"/>
        <v>7</v>
      </c>
      <c r="O8" s="1" t="str">
        <f>Saisondaten!B20</f>
        <v>1. MKC Duisburg</v>
      </c>
      <c r="P8" s="1" t="str">
        <f>Saisondaten!$B$17</f>
        <v>A</v>
      </c>
      <c r="Q8" s="1">
        <f t="shared" si="3"/>
        <v>5</v>
      </c>
      <c r="R8" s="1">
        <f t="shared" si="1"/>
        <v>3</v>
      </c>
      <c r="S8" s="1">
        <f t="shared" si="1"/>
        <v>3</v>
      </c>
      <c r="T8" s="1">
        <f t="shared" si="1"/>
        <v>42</v>
      </c>
      <c r="U8" s="1">
        <f t="shared" si="1"/>
        <v>31</v>
      </c>
      <c r="V8" s="1">
        <f t="shared" si="4"/>
        <v>18</v>
      </c>
      <c r="W8" s="1">
        <f t="shared" si="5"/>
        <v>1810104384</v>
      </c>
      <c r="X8" s="1">
        <f t="shared" si="6"/>
        <v>7</v>
      </c>
      <c r="Y8" s="1">
        <f>IF(COUNTIF(X$6:X8,X8)&gt;1,1,0)</f>
        <v>0</v>
      </c>
      <c r="Z8" s="1">
        <f t="shared" si="7"/>
        <v>1810104384</v>
      </c>
      <c r="AA8" s="1">
        <f t="shared" si="8"/>
        <v>7</v>
      </c>
      <c r="AB8" s="1">
        <f>IF(COUNTIF(AA$6:AA8,AA8)&gt;1,1,0)</f>
        <v>0</v>
      </c>
      <c r="AC8" s="1">
        <f t="shared" si="9"/>
        <v>1810104384</v>
      </c>
      <c r="AD8" s="1">
        <f t="shared" si="10"/>
        <v>7</v>
      </c>
      <c r="AE8" s="1">
        <f>IF(COUNTIF(AD$6:AD8,AD8)&gt;1,1,0)</f>
        <v>0</v>
      </c>
      <c r="AF8" s="1">
        <f t="shared" si="11"/>
        <v>1810104384</v>
      </c>
      <c r="AG8" s="1">
        <f t="shared" si="12"/>
        <v>7</v>
      </c>
      <c r="AH8" s="1">
        <f>IF(COUNTIF(AG$6:AG8,AG8)&gt;1,1,0)</f>
        <v>0</v>
      </c>
      <c r="AI8" s="1">
        <f t="shared" si="13"/>
        <v>1810104384</v>
      </c>
      <c r="AJ8" s="1">
        <f t="shared" si="14"/>
        <v>7</v>
      </c>
      <c r="AK8" s="1">
        <f>IF(COUNTIF(AJ$6:AJ8,AJ8)&gt;1,1,0)</f>
        <v>0</v>
      </c>
      <c r="AL8" s="1">
        <f t="shared" si="15"/>
        <v>1810104384</v>
      </c>
      <c r="AM8" s="1">
        <f t="shared" si="16"/>
        <v>7</v>
      </c>
      <c r="AN8" s="1">
        <f>IF(COUNTIF(AM$6:AM8,AM8)&gt;1,1,0)</f>
        <v>0</v>
      </c>
      <c r="AO8" s="1">
        <f t="shared" si="17"/>
        <v>1810104384</v>
      </c>
      <c r="AP8" s="1">
        <f t="shared" si="18"/>
        <v>7</v>
      </c>
      <c r="AQ8" s="1">
        <f>IF(COUNTIF(AP$6:AP8,AP8)&gt;1,1,0)</f>
        <v>0</v>
      </c>
      <c r="AR8" s="1">
        <f t="shared" si="19"/>
        <v>1810104384</v>
      </c>
      <c r="AS8" s="1">
        <f t="shared" si="20"/>
        <v>7</v>
      </c>
      <c r="AT8" s="1">
        <f>IF(COUNTIF(AS$6:AS8,AS8)&gt;1,1,0)</f>
        <v>0</v>
      </c>
      <c r="AU8" s="1">
        <f t="shared" si="21"/>
        <v>1810104384</v>
      </c>
      <c r="AV8" s="1">
        <f t="shared" si="22"/>
        <v>7</v>
      </c>
      <c r="AW8" s="1">
        <f>IF(COUNTIF(AV$6:AV8,AV8)&gt;1,1,0)</f>
        <v>0</v>
      </c>
      <c r="AX8" s="1">
        <f t="shared" si="23"/>
        <v>1810104384</v>
      </c>
      <c r="AY8" s="1">
        <f t="shared" si="24"/>
        <v>7</v>
      </c>
      <c r="AZ8" s="1">
        <f>IF(COUNTIF(AY$6:AY8,AY8)&gt;1,1,0)</f>
        <v>0</v>
      </c>
      <c r="BA8" s="1">
        <f t="shared" si="25"/>
        <v>1810104384</v>
      </c>
      <c r="BB8" s="1">
        <f t="shared" si="26"/>
        <v>7</v>
      </c>
      <c r="BC8" s="1">
        <f>IF(COUNTIF(BB$6:BB8,BB8)&gt;1,1,0)</f>
        <v>0</v>
      </c>
      <c r="BD8" s="1">
        <f t="shared" si="27"/>
        <v>1810104384</v>
      </c>
      <c r="BE8" s="1">
        <f t="shared" si="28"/>
        <v>7</v>
      </c>
    </row>
    <row r="9" spans="1:57" ht="16.5">
      <c r="A9" t="s">
        <v>1</v>
      </c>
      <c r="B9">
        <v>7</v>
      </c>
      <c r="C9">
        <v>7</v>
      </c>
      <c r="D9" t="str">
        <f>VLOOKUP($C9,'1.Spieltag'!$AD$40:$AK$51,D$1,FALSE)</f>
        <v>ACC Hamburg</v>
      </c>
      <c r="E9" t="str">
        <f>VLOOKUP($C9,'1.Spieltag'!$AD$40:$AK$51,E$1,FALSE)</f>
        <v>B</v>
      </c>
      <c r="F9">
        <f>VLOOKUP($C9,'1.Spieltag'!$AD$40:$AK$51,F$1,FALSE)</f>
        <v>2</v>
      </c>
      <c r="G9">
        <f>VLOOKUP($C9,'1.Spieltag'!$AD$40:$AK$51,G$1,FALSE)</f>
        <v>1</v>
      </c>
      <c r="H9">
        <f>VLOOKUP($C9,'1.Spieltag'!$AD$40:$AK$51,H$1,FALSE)</f>
        <v>2</v>
      </c>
      <c r="I9">
        <f>VLOOKUP($C9,'1.Spieltag'!$AD$40:$AK$51,I$1,FALSE)</f>
        <v>14</v>
      </c>
      <c r="J9">
        <f>VLOOKUP($C9,'1.Spieltag'!$AD$40:$AK$51,J$1,FALSE)</f>
        <v>18</v>
      </c>
      <c r="L9" t="s">
        <v>9</v>
      </c>
      <c r="M9">
        <f t="shared" si="0"/>
        <v>5</v>
      </c>
      <c r="N9" s="1">
        <f t="shared" si="2"/>
        <v>10</v>
      </c>
      <c r="O9" s="1" t="str">
        <f>Saisondaten!B21</f>
        <v>KC Wetter</v>
      </c>
      <c r="P9" s="1" t="str">
        <f>Saisondaten!$B$17</f>
        <v>A</v>
      </c>
      <c r="Q9" s="1">
        <f t="shared" si="3"/>
        <v>1</v>
      </c>
      <c r="R9" s="1">
        <f t="shared" si="1"/>
        <v>2</v>
      </c>
      <c r="S9" s="1">
        <f t="shared" si="1"/>
        <v>8</v>
      </c>
      <c r="T9" s="1">
        <f t="shared" si="1"/>
        <v>26</v>
      </c>
      <c r="U9" s="1">
        <f t="shared" si="1"/>
        <v>56</v>
      </c>
      <c r="V9" s="1">
        <f t="shared" si="4"/>
        <v>5</v>
      </c>
      <c r="W9" s="1">
        <f t="shared" si="5"/>
        <v>473535557</v>
      </c>
      <c r="X9" s="1">
        <f t="shared" si="6"/>
        <v>10</v>
      </c>
      <c r="Y9" s="1">
        <f>IF(COUNTIF(X$6:X9,X9)&gt;1,1,0)</f>
        <v>0</v>
      </c>
      <c r="Z9" s="1">
        <f t="shared" si="7"/>
        <v>473535557</v>
      </c>
      <c r="AA9" s="1">
        <f t="shared" si="8"/>
        <v>10</v>
      </c>
      <c r="AB9" s="1">
        <f>IF(COUNTIF(AA$6:AA9,AA9)&gt;1,1,0)</f>
        <v>0</v>
      </c>
      <c r="AC9" s="1">
        <f t="shared" si="9"/>
        <v>473535557</v>
      </c>
      <c r="AD9" s="1">
        <f t="shared" si="10"/>
        <v>10</v>
      </c>
      <c r="AE9" s="1">
        <f>IF(COUNTIF(AD$6:AD9,AD9)&gt;1,1,0)</f>
        <v>0</v>
      </c>
      <c r="AF9" s="1">
        <f t="shared" si="11"/>
        <v>473535557</v>
      </c>
      <c r="AG9" s="1">
        <f t="shared" si="12"/>
        <v>10</v>
      </c>
      <c r="AH9" s="1">
        <f>IF(COUNTIF(AG$6:AG9,AG9)&gt;1,1,0)</f>
        <v>0</v>
      </c>
      <c r="AI9" s="1">
        <f t="shared" si="13"/>
        <v>473535557</v>
      </c>
      <c r="AJ9" s="1">
        <f t="shared" si="14"/>
        <v>10</v>
      </c>
      <c r="AK9" s="1">
        <f>IF(COUNTIF(AJ$6:AJ9,AJ9)&gt;1,1,0)</f>
        <v>0</v>
      </c>
      <c r="AL9" s="1">
        <f t="shared" si="15"/>
        <v>473535557</v>
      </c>
      <c r="AM9" s="1">
        <f t="shared" si="16"/>
        <v>10</v>
      </c>
      <c r="AN9" s="1">
        <f>IF(COUNTIF(AM$6:AM9,AM9)&gt;1,1,0)</f>
        <v>0</v>
      </c>
      <c r="AO9" s="1">
        <f t="shared" si="17"/>
        <v>473535557</v>
      </c>
      <c r="AP9" s="1">
        <f t="shared" si="18"/>
        <v>10</v>
      </c>
      <c r="AQ9" s="1">
        <f>IF(COUNTIF(AP$6:AP9,AP9)&gt;1,1,0)</f>
        <v>0</v>
      </c>
      <c r="AR9" s="1">
        <f t="shared" si="19"/>
        <v>473535557</v>
      </c>
      <c r="AS9" s="1">
        <f t="shared" si="20"/>
        <v>10</v>
      </c>
      <c r="AT9" s="1">
        <f>IF(COUNTIF(AS$6:AS9,AS9)&gt;1,1,0)</f>
        <v>0</v>
      </c>
      <c r="AU9" s="1">
        <f t="shared" si="21"/>
        <v>473535557</v>
      </c>
      <c r="AV9" s="1">
        <f t="shared" si="22"/>
        <v>10</v>
      </c>
      <c r="AW9" s="1">
        <f>IF(COUNTIF(AV$6:AV9,AV9)&gt;1,1,0)</f>
        <v>0</v>
      </c>
      <c r="AX9" s="1">
        <f t="shared" si="23"/>
        <v>473535557</v>
      </c>
      <c r="AY9" s="1">
        <f t="shared" si="24"/>
        <v>10</v>
      </c>
      <c r="AZ9" s="1">
        <f>IF(COUNTIF(AY$6:AY9,AY9)&gt;1,1,0)</f>
        <v>0</v>
      </c>
      <c r="BA9" s="1">
        <f t="shared" si="25"/>
        <v>473535557</v>
      </c>
      <c r="BB9" s="1">
        <f t="shared" si="26"/>
        <v>10</v>
      </c>
      <c r="BC9" s="1">
        <f>IF(COUNTIF(BB$6:BB9,BB9)&gt;1,1,0)</f>
        <v>0</v>
      </c>
      <c r="BD9" s="1">
        <f t="shared" si="27"/>
        <v>473535557</v>
      </c>
      <c r="BE9" s="1">
        <f t="shared" si="28"/>
        <v>10</v>
      </c>
    </row>
    <row r="10" spans="1:57" ht="16.5">
      <c r="A10" t="s">
        <v>1</v>
      </c>
      <c r="B10">
        <v>8</v>
      </c>
      <c r="C10">
        <v>8</v>
      </c>
      <c r="D10" t="str">
        <f>VLOOKUP($C10,'1.Spieltag'!$AD$40:$AK$51,D$1,FALSE)</f>
        <v>KGW Essen</v>
      </c>
      <c r="E10" t="str">
        <f>VLOOKUP($C10,'1.Spieltag'!$AD$40:$AK$51,E$1,FALSE)</f>
        <v>A</v>
      </c>
      <c r="F10">
        <f>VLOOKUP($C10,'1.Spieltag'!$AD$40:$AK$51,F$1,FALSE)</f>
        <v>1</v>
      </c>
      <c r="G10">
        <f>VLOOKUP($C10,'1.Spieltag'!$AD$40:$AK$51,G$1,FALSE)</f>
        <v>2</v>
      </c>
      <c r="H10">
        <f>VLOOKUP($C10,'1.Spieltag'!$AD$40:$AK$51,H$1,FALSE)</f>
        <v>2</v>
      </c>
      <c r="I10">
        <f>VLOOKUP($C10,'1.Spieltag'!$AD$40:$AK$51,I$1,FALSE)</f>
        <v>12</v>
      </c>
      <c r="J10">
        <f>VLOOKUP($C10,'1.Spieltag'!$AD$40:$AK$51,J$1,FALSE)</f>
        <v>13</v>
      </c>
      <c r="L10" t="s">
        <v>9</v>
      </c>
      <c r="M10">
        <f t="shared" si="0"/>
        <v>4</v>
      </c>
      <c r="N10" s="1">
        <f t="shared" si="2"/>
        <v>8</v>
      </c>
      <c r="O10" s="1" t="str">
        <f>Saisondaten!B22</f>
        <v>KGW Essen</v>
      </c>
      <c r="P10" s="1" t="str">
        <f>Saisondaten!$B$17</f>
        <v>A</v>
      </c>
      <c r="Q10" s="1">
        <f t="shared" si="3"/>
        <v>3</v>
      </c>
      <c r="R10" s="1">
        <f t="shared" si="1"/>
        <v>4</v>
      </c>
      <c r="S10" s="1">
        <f t="shared" si="1"/>
        <v>4</v>
      </c>
      <c r="T10" s="1">
        <f t="shared" si="1"/>
        <v>24</v>
      </c>
      <c r="U10" s="1">
        <f t="shared" si="1"/>
        <v>30</v>
      </c>
      <c r="V10" s="1">
        <f t="shared" si="4"/>
        <v>13</v>
      </c>
      <c r="W10" s="1">
        <f t="shared" si="5"/>
        <v>1294853307</v>
      </c>
      <c r="X10" s="1">
        <f t="shared" si="6"/>
        <v>8</v>
      </c>
      <c r="Y10" s="1">
        <f>IF(COUNTIF(X$6:X10,X10)&gt;1,1,0)</f>
        <v>0</v>
      </c>
      <c r="Z10" s="1">
        <f t="shared" si="7"/>
        <v>1294853307</v>
      </c>
      <c r="AA10" s="1">
        <f t="shared" si="8"/>
        <v>8</v>
      </c>
      <c r="AB10" s="1">
        <f>IF(COUNTIF(AA$6:AA10,AA10)&gt;1,1,0)</f>
        <v>0</v>
      </c>
      <c r="AC10" s="1">
        <f t="shared" si="9"/>
        <v>1294853307</v>
      </c>
      <c r="AD10" s="1">
        <f t="shared" si="10"/>
        <v>8</v>
      </c>
      <c r="AE10" s="1">
        <f>IF(COUNTIF(AD$6:AD10,AD10)&gt;1,1,0)</f>
        <v>0</v>
      </c>
      <c r="AF10" s="1">
        <f t="shared" si="11"/>
        <v>1294853307</v>
      </c>
      <c r="AG10" s="1">
        <f t="shared" si="12"/>
        <v>8</v>
      </c>
      <c r="AH10" s="1">
        <f>IF(COUNTIF(AG$6:AG10,AG10)&gt;1,1,0)</f>
        <v>0</v>
      </c>
      <c r="AI10" s="1">
        <f t="shared" si="13"/>
        <v>1294853307</v>
      </c>
      <c r="AJ10" s="1">
        <f t="shared" si="14"/>
        <v>8</v>
      </c>
      <c r="AK10" s="1">
        <f>IF(COUNTIF(AJ$6:AJ10,AJ10)&gt;1,1,0)</f>
        <v>0</v>
      </c>
      <c r="AL10" s="1">
        <f t="shared" si="15"/>
        <v>1294853307</v>
      </c>
      <c r="AM10" s="1">
        <f t="shared" si="16"/>
        <v>8</v>
      </c>
      <c r="AN10" s="1">
        <f>IF(COUNTIF(AM$6:AM10,AM10)&gt;1,1,0)</f>
        <v>0</v>
      </c>
      <c r="AO10" s="1">
        <f t="shared" si="17"/>
        <v>1294853307</v>
      </c>
      <c r="AP10" s="1">
        <f t="shared" si="18"/>
        <v>8</v>
      </c>
      <c r="AQ10" s="1">
        <f>IF(COUNTIF(AP$6:AP10,AP10)&gt;1,1,0)</f>
        <v>0</v>
      </c>
      <c r="AR10" s="1">
        <f t="shared" si="19"/>
        <v>1294853307</v>
      </c>
      <c r="AS10" s="1">
        <f t="shared" si="20"/>
        <v>8</v>
      </c>
      <c r="AT10" s="1">
        <f>IF(COUNTIF(AS$6:AS10,AS10)&gt;1,1,0)</f>
        <v>0</v>
      </c>
      <c r="AU10" s="1">
        <f t="shared" si="21"/>
        <v>1294853307</v>
      </c>
      <c r="AV10" s="1">
        <f t="shared" si="22"/>
        <v>8</v>
      </c>
      <c r="AW10" s="1">
        <f>IF(COUNTIF(AV$6:AV10,AV10)&gt;1,1,0)</f>
        <v>0</v>
      </c>
      <c r="AX10" s="1">
        <f t="shared" si="23"/>
        <v>1294853307</v>
      </c>
      <c r="AY10" s="1">
        <f t="shared" si="24"/>
        <v>8</v>
      </c>
      <c r="AZ10" s="1">
        <f>IF(COUNTIF(AY$6:AY10,AY10)&gt;1,1,0)</f>
        <v>0</v>
      </c>
      <c r="BA10" s="1">
        <f t="shared" si="25"/>
        <v>1294853307</v>
      </c>
      <c r="BB10" s="1">
        <f t="shared" si="26"/>
        <v>8</v>
      </c>
      <c r="BC10" s="1">
        <f>IF(COUNTIF(BB$6:BB10,BB10)&gt;1,1,0)</f>
        <v>0</v>
      </c>
      <c r="BD10" s="1">
        <f t="shared" si="27"/>
        <v>1294853307</v>
      </c>
      <c r="BE10" s="1">
        <f t="shared" si="28"/>
        <v>8</v>
      </c>
    </row>
    <row r="11" spans="1:57" ht="16.5">
      <c r="A11" t="s">
        <v>1</v>
      </c>
      <c r="B11">
        <v>9</v>
      </c>
      <c r="C11">
        <v>9</v>
      </c>
      <c r="D11" t="str">
        <f>VLOOKUP($C11,'1.Spieltag'!$AD$40:$AK$51,D$1,FALSE)</f>
        <v>VK Berlin</v>
      </c>
      <c r="E11" t="str">
        <f>VLOOKUP($C11,'1.Spieltag'!$AD$40:$AK$51,E$1,FALSE)</f>
        <v>B</v>
      </c>
      <c r="F11">
        <f>VLOOKUP($C11,'1.Spieltag'!$AD$40:$AK$51,F$1,FALSE)</f>
        <v>0</v>
      </c>
      <c r="G11">
        <f>VLOOKUP($C11,'1.Spieltag'!$AD$40:$AK$51,G$1,FALSE)</f>
        <v>2</v>
      </c>
      <c r="H11">
        <f>VLOOKUP($C11,'1.Spieltag'!$AD$40:$AK$51,H$1,FALSE)</f>
        <v>3</v>
      </c>
      <c r="I11">
        <f>VLOOKUP($C11,'1.Spieltag'!$AD$40:$AK$51,I$1,FALSE)</f>
        <v>14</v>
      </c>
      <c r="J11">
        <f>VLOOKUP($C11,'1.Spieltag'!$AD$40:$AK$51,J$1,FALSE)</f>
        <v>18</v>
      </c>
      <c r="L11" t="s">
        <v>9</v>
      </c>
      <c r="M11">
        <f t="shared" si="0"/>
        <v>6</v>
      </c>
      <c r="N11" s="1">
        <f t="shared" si="2"/>
        <v>11</v>
      </c>
      <c r="O11" s="1" t="str">
        <f>Saisondaten!B23</f>
        <v>Göttinger PC</v>
      </c>
      <c r="P11" s="1" t="str">
        <f>Saisondaten!$B$17</f>
        <v>A</v>
      </c>
      <c r="Q11" s="1">
        <f t="shared" si="3"/>
        <v>1</v>
      </c>
      <c r="R11" s="1">
        <f t="shared" si="1"/>
        <v>1</v>
      </c>
      <c r="S11" s="1">
        <f t="shared" si="1"/>
        <v>9</v>
      </c>
      <c r="T11" s="1">
        <f t="shared" si="1"/>
        <v>30</v>
      </c>
      <c r="U11" s="1">
        <f t="shared" si="1"/>
        <v>56</v>
      </c>
      <c r="V11" s="1">
        <f t="shared" si="4"/>
        <v>4</v>
      </c>
      <c r="W11" s="1">
        <f t="shared" si="5"/>
        <v>377122218</v>
      </c>
      <c r="X11" s="1">
        <f t="shared" si="6"/>
        <v>11</v>
      </c>
      <c r="Y11" s="1">
        <f>IF(COUNTIF(X$6:X11,X11)&gt;1,1,0)</f>
        <v>0</v>
      </c>
      <c r="Z11" s="1">
        <f t="shared" si="7"/>
        <v>377122218</v>
      </c>
      <c r="AA11" s="1">
        <f t="shared" si="8"/>
        <v>11</v>
      </c>
      <c r="AB11" s="1">
        <f>IF(COUNTIF(AA$6:AA11,AA11)&gt;1,1,0)</f>
        <v>0</v>
      </c>
      <c r="AC11" s="1">
        <f t="shared" si="9"/>
        <v>377122218</v>
      </c>
      <c r="AD11" s="1">
        <f t="shared" si="10"/>
        <v>11</v>
      </c>
      <c r="AE11" s="1">
        <f>IF(COUNTIF(AD$6:AD11,AD11)&gt;1,1,0)</f>
        <v>0</v>
      </c>
      <c r="AF11" s="1">
        <f t="shared" si="11"/>
        <v>377122218</v>
      </c>
      <c r="AG11" s="1">
        <f t="shared" si="12"/>
        <v>11</v>
      </c>
      <c r="AH11" s="1">
        <f>IF(COUNTIF(AG$6:AG11,AG11)&gt;1,1,0)</f>
        <v>0</v>
      </c>
      <c r="AI11" s="1">
        <f t="shared" si="13"/>
        <v>377122218</v>
      </c>
      <c r="AJ11" s="1">
        <f t="shared" si="14"/>
        <v>11</v>
      </c>
      <c r="AK11" s="1">
        <f>IF(COUNTIF(AJ$6:AJ11,AJ11)&gt;1,1,0)</f>
        <v>0</v>
      </c>
      <c r="AL11" s="1">
        <f t="shared" si="15"/>
        <v>377122218</v>
      </c>
      <c r="AM11" s="1">
        <f t="shared" si="16"/>
        <v>11</v>
      </c>
      <c r="AN11" s="1">
        <f>IF(COUNTIF(AM$6:AM11,AM11)&gt;1,1,0)</f>
        <v>0</v>
      </c>
      <c r="AO11" s="1">
        <f t="shared" si="17"/>
        <v>377122218</v>
      </c>
      <c r="AP11" s="1">
        <f t="shared" si="18"/>
        <v>11</v>
      </c>
      <c r="AQ11" s="1">
        <f>IF(COUNTIF(AP$6:AP11,AP11)&gt;1,1,0)</f>
        <v>0</v>
      </c>
      <c r="AR11" s="1">
        <f t="shared" si="19"/>
        <v>377122218</v>
      </c>
      <c r="AS11" s="1">
        <f t="shared" si="20"/>
        <v>11</v>
      </c>
      <c r="AT11" s="1">
        <f>IF(COUNTIF(AS$6:AS11,AS11)&gt;1,1,0)</f>
        <v>0</v>
      </c>
      <c r="AU11" s="1">
        <f t="shared" si="21"/>
        <v>377122218</v>
      </c>
      <c r="AV11" s="1">
        <f t="shared" si="22"/>
        <v>11</v>
      </c>
      <c r="AW11" s="1">
        <f>IF(COUNTIF(AV$6:AV11,AV11)&gt;1,1,0)</f>
        <v>0</v>
      </c>
      <c r="AX11" s="1">
        <f t="shared" si="23"/>
        <v>377122218</v>
      </c>
      <c r="AY11" s="1">
        <f t="shared" si="24"/>
        <v>11</v>
      </c>
      <c r="AZ11" s="1">
        <f>IF(COUNTIF(AY$6:AY11,AY11)&gt;1,1,0)</f>
        <v>0</v>
      </c>
      <c r="BA11" s="1">
        <f t="shared" si="25"/>
        <v>377122218</v>
      </c>
      <c r="BB11" s="1">
        <f t="shared" si="26"/>
        <v>11</v>
      </c>
      <c r="BC11" s="1">
        <f>IF(COUNTIF(BB$6:BB11,BB11)&gt;1,1,0)</f>
        <v>0</v>
      </c>
      <c r="BD11" s="1">
        <f t="shared" si="27"/>
        <v>377122218</v>
      </c>
      <c r="BE11" s="1">
        <f t="shared" si="28"/>
        <v>11</v>
      </c>
    </row>
    <row r="12" spans="1:57" ht="16.5">
      <c r="A12" t="s">
        <v>1</v>
      </c>
      <c r="B12">
        <v>10</v>
      </c>
      <c r="C12">
        <v>10</v>
      </c>
      <c r="D12" t="str">
        <f>VLOOKUP($C12,'1.Spieltag'!$AD$40:$AK$51,D$1,FALSE)</f>
        <v>KC Wetter</v>
      </c>
      <c r="E12" t="str">
        <f>VLOOKUP($C12,'1.Spieltag'!$AD$40:$AK$51,E$1,FALSE)</f>
        <v>A</v>
      </c>
      <c r="F12">
        <f>VLOOKUP($C12,'1.Spieltag'!$AD$40:$AK$51,F$1,FALSE)</f>
        <v>0</v>
      </c>
      <c r="G12">
        <f>VLOOKUP($C12,'1.Spieltag'!$AD$40:$AK$51,G$1,FALSE)</f>
        <v>2</v>
      </c>
      <c r="H12">
        <f>VLOOKUP($C12,'1.Spieltag'!$AD$40:$AK$51,H$1,FALSE)</f>
        <v>3</v>
      </c>
      <c r="I12">
        <f>VLOOKUP($C12,'1.Spieltag'!$AD$40:$AK$51,I$1,FALSE)</f>
        <v>13</v>
      </c>
      <c r="J12">
        <f>VLOOKUP($C12,'1.Spieltag'!$AD$40:$AK$51,J$1,FALSE)</f>
        <v>28</v>
      </c>
      <c r="L12" t="s">
        <v>10</v>
      </c>
      <c r="M12">
        <f aca="true" t="shared" si="29" ref="M12:M17">RANK(N12,$N$12:$N$17,1)</f>
        <v>2</v>
      </c>
      <c r="N12" s="1">
        <f t="shared" si="2"/>
        <v>4</v>
      </c>
      <c r="O12" s="1" t="str">
        <f>Saisondaten!C18</f>
        <v>ACC Hamburg</v>
      </c>
      <c r="P12" s="1" t="str">
        <f>Saisondaten!$C$17</f>
        <v>B</v>
      </c>
      <c r="Q12" s="1">
        <f t="shared" si="3"/>
        <v>7</v>
      </c>
      <c r="R12" s="1">
        <f t="shared" si="1"/>
        <v>1</v>
      </c>
      <c r="S12" s="1">
        <f t="shared" si="1"/>
        <v>3</v>
      </c>
      <c r="T12" s="1">
        <f t="shared" si="1"/>
        <v>44</v>
      </c>
      <c r="U12" s="1">
        <f t="shared" si="1"/>
        <v>33</v>
      </c>
      <c r="V12" s="1">
        <f t="shared" si="4"/>
        <v>22</v>
      </c>
      <c r="W12" s="1">
        <f t="shared" si="5"/>
        <v>2210119934</v>
      </c>
      <c r="X12" s="1">
        <f t="shared" si="6"/>
        <v>4</v>
      </c>
      <c r="Y12" s="1">
        <f>IF(COUNTIF(X$6:X12,X12)&gt;1,1,0)</f>
        <v>0</v>
      </c>
      <c r="Z12" s="1">
        <f t="shared" si="7"/>
        <v>2210119934</v>
      </c>
      <c r="AA12" s="1">
        <f t="shared" si="8"/>
        <v>4</v>
      </c>
      <c r="AB12" s="1">
        <f>IF(COUNTIF(AA$6:AA12,AA12)&gt;1,1,0)</f>
        <v>0</v>
      </c>
      <c r="AC12" s="1">
        <f t="shared" si="9"/>
        <v>2210119934</v>
      </c>
      <c r="AD12" s="1">
        <f t="shared" si="10"/>
        <v>4</v>
      </c>
      <c r="AE12" s="1">
        <f>IF(COUNTIF(AD$6:AD12,AD12)&gt;1,1,0)</f>
        <v>0</v>
      </c>
      <c r="AF12" s="1">
        <f t="shared" si="11"/>
        <v>2210119934</v>
      </c>
      <c r="AG12" s="1">
        <f t="shared" si="12"/>
        <v>4</v>
      </c>
      <c r="AH12" s="1">
        <f>IF(COUNTIF(AG$6:AG12,AG12)&gt;1,1,0)</f>
        <v>0</v>
      </c>
      <c r="AI12" s="1">
        <f t="shared" si="13"/>
        <v>2210119934</v>
      </c>
      <c r="AJ12" s="1">
        <f t="shared" si="14"/>
        <v>4</v>
      </c>
      <c r="AK12" s="1">
        <f>IF(COUNTIF(AJ$6:AJ12,AJ12)&gt;1,1,0)</f>
        <v>0</v>
      </c>
      <c r="AL12" s="1">
        <f t="shared" si="15"/>
        <v>2210119934</v>
      </c>
      <c r="AM12" s="1">
        <f t="shared" si="16"/>
        <v>4</v>
      </c>
      <c r="AN12" s="1">
        <f>IF(COUNTIF(AM$6:AM12,AM12)&gt;1,1,0)</f>
        <v>0</v>
      </c>
      <c r="AO12" s="1">
        <f t="shared" si="17"/>
        <v>2210119934</v>
      </c>
      <c r="AP12" s="1">
        <f t="shared" si="18"/>
        <v>4</v>
      </c>
      <c r="AQ12" s="1">
        <f>IF(COUNTIF(AP$6:AP12,AP12)&gt;1,1,0)</f>
        <v>0</v>
      </c>
      <c r="AR12" s="1">
        <f t="shared" si="19"/>
        <v>2210119934</v>
      </c>
      <c r="AS12" s="1">
        <f t="shared" si="20"/>
        <v>4</v>
      </c>
      <c r="AT12" s="1">
        <f>IF(COUNTIF(AS$6:AS12,AS12)&gt;1,1,0)</f>
        <v>0</v>
      </c>
      <c r="AU12" s="1">
        <f t="shared" si="21"/>
        <v>2210119934</v>
      </c>
      <c r="AV12" s="1">
        <f t="shared" si="22"/>
        <v>4</v>
      </c>
      <c r="AW12" s="1">
        <f>IF(COUNTIF(AV$6:AV12,AV12)&gt;1,1,0)</f>
        <v>0</v>
      </c>
      <c r="AX12" s="1">
        <f t="shared" si="23"/>
        <v>2210119934</v>
      </c>
      <c r="AY12" s="1">
        <f t="shared" si="24"/>
        <v>4</v>
      </c>
      <c r="AZ12" s="1">
        <f>IF(COUNTIF(AY$6:AY12,AY12)&gt;1,1,0)</f>
        <v>0</v>
      </c>
      <c r="BA12" s="1">
        <f t="shared" si="25"/>
        <v>2210119934</v>
      </c>
      <c r="BB12" s="1">
        <f t="shared" si="26"/>
        <v>4</v>
      </c>
      <c r="BC12" s="1">
        <f>IF(COUNTIF(BB$6:BB12,BB12)&gt;1,1,0)</f>
        <v>0</v>
      </c>
      <c r="BD12" s="1">
        <f t="shared" si="27"/>
        <v>2210119934</v>
      </c>
      <c r="BE12" s="1">
        <f t="shared" si="28"/>
        <v>4</v>
      </c>
    </row>
    <row r="13" spans="1:57" ht="16.5">
      <c r="A13" t="s">
        <v>1</v>
      </c>
      <c r="B13">
        <v>11</v>
      </c>
      <c r="C13">
        <v>11</v>
      </c>
      <c r="D13" t="str">
        <f>VLOOKUP($C13,'1.Spieltag'!$AD$40:$AK$51,D$1,FALSE)</f>
        <v>KSV Glauchau</v>
      </c>
      <c r="E13" t="str">
        <f>VLOOKUP($C13,'1.Spieltag'!$AD$40:$AK$51,E$1,FALSE)</f>
        <v>B</v>
      </c>
      <c r="F13">
        <f>VLOOKUP($C13,'1.Spieltag'!$AD$40:$AK$51,F$1,FALSE)</f>
        <v>0</v>
      </c>
      <c r="G13">
        <f>VLOOKUP($C13,'1.Spieltag'!$AD$40:$AK$51,G$1,FALSE)</f>
        <v>1</v>
      </c>
      <c r="H13">
        <f>VLOOKUP($C13,'1.Spieltag'!$AD$40:$AK$51,H$1,FALSE)</f>
        <v>4</v>
      </c>
      <c r="I13">
        <f>VLOOKUP($C13,'1.Spieltag'!$AD$40:$AK$51,I$1,FALSE)</f>
        <v>10</v>
      </c>
      <c r="J13">
        <f>VLOOKUP($C13,'1.Spieltag'!$AD$40:$AK$51,J$1,FALSE)</f>
        <v>23</v>
      </c>
      <c r="L13" t="s">
        <v>10</v>
      </c>
      <c r="M13">
        <f t="shared" si="29"/>
        <v>3</v>
      </c>
      <c r="N13" s="1">
        <f t="shared" si="2"/>
        <v>5</v>
      </c>
      <c r="O13" s="1" t="str">
        <f>Saisondaten!C19</f>
        <v>KCNW Berlin</v>
      </c>
      <c r="P13" s="1" t="str">
        <f>Saisondaten!$C$17</f>
        <v>B</v>
      </c>
      <c r="Q13" s="1">
        <f t="shared" si="3"/>
        <v>6</v>
      </c>
      <c r="R13" s="1">
        <f t="shared" si="1"/>
        <v>1</v>
      </c>
      <c r="S13" s="1">
        <f t="shared" si="1"/>
        <v>4</v>
      </c>
      <c r="T13" s="1">
        <f t="shared" si="1"/>
        <v>36</v>
      </c>
      <c r="U13" s="1">
        <f t="shared" si="1"/>
        <v>27</v>
      </c>
      <c r="V13" s="1">
        <f t="shared" si="4"/>
        <v>19</v>
      </c>
      <c r="W13" s="1">
        <f t="shared" si="5"/>
        <v>1908279945</v>
      </c>
      <c r="X13" s="1">
        <f t="shared" si="6"/>
        <v>5</v>
      </c>
      <c r="Y13" s="1">
        <f>IF(COUNTIF(X$6:X13,X13)&gt;1,1,0)</f>
        <v>0</v>
      </c>
      <c r="Z13" s="1">
        <f t="shared" si="7"/>
        <v>1908279945</v>
      </c>
      <c r="AA13" s="1">
        <f t="shared" si="8"/>
        <v>5</v>
      </c>
      <c r="AB13" s="1">
        <f>IF(COUNTIF(AA$6:AA13,AA13)&gt;1,1,0)</f>
        <v>0</v>
      </c>
      <c r="AC13" s="1">
        <f t="shared" si="9"/>
        <v>1908279945</v>
      </c>
      <c r="AD13" s="1">
        <f t="shared" si="10"/>
        <v>5</v>
      </c>
      <c r="AE13" s="1">
        <f>IF(COUNTIF(AD$6:AD13,AD13)&gt;1,1,0)</f>
        <v>0</v>
      </c>
      <c r="AF13" s="1">
        <f t="shared" si="11"/>
        <v>1908279945</v>
      </c>
      <c r="AG13" s="1">
        <f t="shared" si="12"/>
        <v>5</v>
      </c>
      <c r="AH13" s="1">
        <f>IF(COUNTIF(AG$6:AG13,AG13)&gt;1,1,0)</f>
        <v>0</v>
      </c>
      <c r="AI13" s="1">
        <f t="shared" si="13"/>
        <v>1908279945</v>
      </c>
      <c r="AJ13" s="1">
        <f t="shared" si="14"/>
        <v>5</v>
      </c>
      <c r="AK13" s="1">
        <f>IF(COUNTIF(AJ$6:AJ13,AJ13)&gt;1,1,0)</f>
        <v>0</v>
      </c>
      <c r="AL13" s="1">
        <f t="shared" si="15"/>
        <v>1908279945</v>
      </c>
      <c r="AM13" s="1">
        <f t="shared" si="16"/>
        <v>5</v>
      </c>
      <c r="AN13" s="1">
        <f>IF(COUNTIF(AM$6:AM13,AM13)&gt;1,1,0)</f>
        <v>0</v>
      </c>
      <c r="AO13" s="1">
        <f t="shared" si="17"/>
        <v>1908279945</v>
      </c>
      <c r="AP13" s="1">
        <f t="shared" si="18"/>
        <v>5</v>
      </c>
      <c r="AQ13" s="1">
        <f>IF(COUNTIF(AP$6:AP13,AP13)&gt;1,1,0)</f>
        <v>0</v>
      </c>
      <c r="AR13" s="1">
        <f t="shared" si="19"/>
        <v>1908279945</v>
      </c>
      <c r="AS13" s="1">
        <f t="shared" si="20"/>
        <v>5</v>
      </c>
      <c r="AT13" s="1">
        <f>IF(COUNTIF(AS$6:AS13,AS13)&gt;1,1,0)</f>
        <v>0</v>
      </c>
      <c r="AU13" s="1">
        <f t="shared" si="21"/>
        <v>1908279945</v>
      </c>
      <c r="AV13" s="1">
        <f t="shared" si="22"/>
        <v>5</v>
      </c>
      <c r="AW13" s="1">
        <f>IF(COUNTIF(AV$6:AV13,AV13)&gt;1,1,0)</f>
        <v>0</v>
      </c>
      <c r="AX13" s="1">
        <f t="shared" si="23"/>
        <v>1908279945</v>
      </c>
      <c r="AY13" s="1">
        <f t="shared" si="24"/>
        <v>5</v>
      </c>
      <c r="AZ13" s="1">
        <f>IF(COUNTIF(AY$6:AY13,AY13)&gt;1,1,0)</f>
        <v>0</v>
      </c>
      <c r="BA13" s="1">
        <f t="shared" si="25"/>
        <v>1908279945</v>
      </c>
      <c r="BB13" s="1">
        <f t="shared" si="26"/>
        <v>5</v>
      </c>
      <c r="BC13" s="1">
        <f>IF(COUNTIF(BB$6:BB13,BB13)&gt;1,1,0)</f>
        <v>0</v>
      </c>
      <c r="BD13" s="1">
        <f t="shared" si="27"/>
        <v>1908279945</v>
      </c>
      <c r="BE13" s="1">
        <f t="shared" si="28"/>
        <v>5</v>
      </c>
    </row>
    <row r="14" spans="1:57" ht="16.5">
      <c r="A14" t="s">
        <v>1</v>
      </c>
      <c r="B14">
        <v>12</v>
      </c>
      <c r="C14">
        <v>12</v>
      </c>
      <c r="D14" t="str">
        <f>VLOOKUP($C14,'1.Spieltag'!$AD$40:$AK$51,D$1,FALSE)</f>
        <v>Göttinger PC</v>
      </c>
      <c r="E14" t="str">
        <f>VLOOKUP($C14,'1.Spieltag'!$AD$40:$AK$51,E$1,FALSE)</f>
        <v>A</v>
      </c>
      <c r="F14">
        <f>VLOOKUP($C14,'1.Spieltag'!$AD$40:$AK$51,F$1,FALSE)</f>
        <v>0</v>
      </c>
      <c r="G14">
        <f>VLOOKUP($C14,'1.Spieltag'!$AD$40:$AK$51,G$1,FALSE)</f>
        <v>1</v>
      </c>
      <c r="H14">
        <f>VLOOKUP($C14,'1.Spieltag'!$AD$40:$AK$51,H$1,FALSE)</f>
        <v>4</v>
      </c>
      <c r="I14">
        <f>VLOOKUP($C14,'1.Spieltag'!$AD$40:$AK$51,I$1,FALSE)</f>
        <v>8</v>
      </c>
      <c r="J14">
        <f>VLOOKUP($C14,'1.Spieltag'!$AD$40:$AK$51,J$1,FALSE)</f>
        <v>21</v>
      </c>
      <c r="L14" t="s">
        <v>10</v>
      </c>
      <c r="M14">
        <f t="shared" si="29"/>
        <v>1</v>
      </c>
      <c r="N14" s="1">
        <f t="shared" si="2"/>
        <v>3</v>
      </c>
      <c r="O14" s="1" t="str">
        <f>Saisondaten!C20</f>
        <v>RSV Hannover</v>
      </c>
      <c r="P14" s="1" t="str">
        <f>Saisondaten!$C$17</f>
        <v>B</v>
      </c>
      <c r="Q14" s="1">
        <f t="shared" si="3"/>
        <v>7</v>
      </c>
      <c r="R14" s="1">
        <f t="shared" si="1"/>
        <v>1</v>
      </c>
      <c r="S14" s="1">
        <f t="shared" si="1"/>
        <v>3</v>
      </c>
      <c r="T14" s="1">
        <f t="shared" si="1"/>
        <v>41</v>
      </c>
      <c r="U14" s="1">
        <f t="shared" si="1"/>
        <v>27</v>
      </c>
      <c r="V14" s="1">
        <f t="shared" si="4"/>
        <v>22</v>
      </c>
      <c r="W14" s="1">
        <f t="shared" si="5"/>
        <v>2212763267</v>
      </c>
      <c r="X14" s="1">
        <f t="shared" si="6"/>
        <v>3</v>
      </c>
      <c r="Y14" s="1">
        <f>IF(COUNTIF(X$6:X14,X14)&gt;1,1,0)</f>
        <v>0</v>
      </c>
      <c r="Z14" s="1">
        <f t="shared" si="7"/>
        <v>2212763267</v>
      </c>
      <c r="AA14" s="1">
        <f t="shared" si="8"/>
        <v>3</v>
      </c>
      <c r="AB14" s="1">
        <f>IF(COUNTIF(AA$6:AA14,AA14)&gt;1,1,0)</f>
        <v>0</v>
      </c>
      <c r="AC14" s="1">
        <f t="shared" si="9"/>
        <v>2212763267</v>
      </c>
      <c r="AD14" s="1">
        <f t="shared" si="10"/>
        <v>3</v>
      </c>
      <c r="AE14" s="1">
        <f>IF(COUNTIF(AD$6:AD14,AD14)&gt;1,1,0)</f>
        <v>0</v>
      </c>
      <c r="AF14" s="1">
        <f t="shared" si="11"/>
        <v>2212763267</v>
      </c>
      <c r="AG14" s="1">
        <f t="shared" si="12"/>
        <v>3</v>
      </c>
      <c r="AH14" s="1">
        <f>IF(COUNTIF(AG$6:AG14,AG14)&gt;1,1,0)</f>
        <v>0</v>
      </c>
      <c r="AI14" s="1">
        <f t="shared" si="13"/>
        <v>2212763267</v>
      </c>
      <c r="AJ14" s="1">
        <f t="shared" si="14"/>
        <v>3</v>
      </c>
      <c r="AK14" s="1">
        <f>IF(COUNTIF(AJ$6:AJ14,AJ14)&gt;1,1,0)</f>
        <v>0</v>
      </c>
      <c r="AL14" s="1">
        <f t="shared" si="15"/>
        <v>2212763267</v>
      </c>
      <c r="AM14" s="1">
        <f t="shared" si="16"/>
        <v>3</v>
      </c>
      <c r="AN14" s="1">
        <f>IF(COUNTIF(AM$6:AM14,AM14)&gt;1,1,0)</f>
        <v>0</v>
      </c>
      <c r="AO14" s="1">
        <f t="shared" si="17"/>
        <v>2212763267</v>
      </c>
      <c r="AP14" s="1">
        <f t="shared" si="18"/>
        <v>3</v>
      </c>
      <c r="AQ14" s="1">
        <f>IF(COUNTIF(AP$6:AP14,AP14)&gt;1,1,0)</f>
        <v>0</v>
      </c>
      <c r="AR14" s="1">
        <f t="shared" si="19"/>
        <v>2212763267</v>
      </c>
      <c r="AS14" s="1">
        <f t="shared" si="20"/>
        <v>3</v>
      </c>
      <c r="AT14" s="1">
        <f>IF(COUNTIF(AS$6:AS14,AS14)&gt;1,1,0)</f>
        <v>0</v>
      </c>
      <c r="AU14" s="1">
        <f t="shared" si="21"/>
        <v>2212763267</v>
      </c>
      <c r="AV14" s="1">
        <f t="shared" si="22"/>
        <v>3</v>
      </c>
      <c r="AW14" s="1">
        <f>IF(COUNTIF(AV$6:AV14,AV14)&gt;1,1,0)</f>
        <v>0</v>
      </c>
      <c r="AX14" s="1">
        <f t="shared" si="23"/>
        <v>2212763267</v>
      </c>
      <c r="AY14" s="1">
        <f t="shared" si="24"/>
        <v>3</v>
      </c>
      <c r="AZ14" s="1">
        <f>IF(COUNTIF(AY$6:AY14,AY14)&gt;1,1,0)</f>
        <v>0</v>
      </c>
      <c r="BA14" s="1">
        <f t="shared" si="25"/>
        <v>2212763267</v>
      </c>
      <c r="BB14" s="1">
        <f t="shared" si="26"/>
        <v>3</v>
      </c>
      <c r="BC14" s="1">
        <f>IF(COUNTIF(BB$6:BB14,BB14)&gt;1,1,0)</f>
        <v>0</v>
      </c>
      <c r="BD14" s="1">
        <f t="shared" si="27"/>
        <v>2212763267</v>
      </c>
      <c r="BE14" s="1">
        <f t="shared" si="28"/>
        <v>3</v>
      </c>
    </row>
    <row r="15" spans="1:57" ht="16.5">
      <c r="A15" t="s">
        <v>2</v>
      </c>
      <c r="B15">
        <v>13</v>
      </c>
      <c r="C15">
        <v>1</v>
      </c>
      <c r="D15" t="str">
        <f>VLOOKUP($C15,'2.Spieltag'!$AD$40:$AK$51,D$1,FALSE)</f>
        <v>WSF Liblar</v>
      </c>
      <c r="E15" t="str">
        <f>VLOOKUP($C15,'2.Spieltag'!$AD$40:$AK$51,E$1,FALSE)</f>
        <v>A</v>
      </c>
      <c r="F15">
        <f>VLOOKUP($C15,'2.Spieltag'!$AD$40:$AK$51,F$1,FALSE)</f>
        <v>6</v>
      </c>
      <c r="G15">
        <f>VLOOKUP($C15,'2.Spieltag'!$AD$40:$AK$51,G$1,FALSE)</f>
        <v>0</v>
      </c>
      <c r="H15">
        <f>VLOOKUP($C15,'2.Spieltag'!$AD$40:$AK$51,H$1,FALSE)</f>
        <v>0</v>
      </c>
      <c r="I15">
        <f>VLOOKUP($C15,'2.Spieltag'!$AD$40:$AK$51,I$1,FALSE)</f>
        <v>27</v>
      </c>
      <c r="J15">
        <f>VLOOKUP($C15,'2.Spieltag'!$AD$40:$AK$51,J$1,FALSE)</f>
        <v>9</v>
      </c>
      <c r="L15" t="s">
        <v>10</v>
      </c>
      <c r="M15">
        <f t="shared" si="29"/>
        <v>5</v>
      </c>
      <c r="N15" s="1">
        <f t="shared" si="2"/>
        <v>9</v>
      </c>
      <c r="O15" s="1" t="str">
        <f>Saisondaten!C21</f>
        <v>VK Berlin</v>
      </c>
      <c r="P15" s="1" t="str">
        <f>Saisondaten!$C$17</f>
        <v>B</v>
      </c>
      <c r="Q15" s="1">
        <f t="shared" si="3"/>
        <v>2</v>
      </c>
      <c r="R15" s="1">
        <f t="shared" si="1"/>
        <v>3</v>
      </c>
      <c r="S15" s="1">
        <f t="shared" si="1"/>
        <v>6</v>
      </c>
      <c r="T15" s="1">
        <f t="shared" si="1"/>
        <v>35</v>
      </c>
      <c r="U15" s="1">
        <f t="shared" si="1"/>
        <v>47</v>
      </c>
      <c r="V15" s="1">
        <f t="shared" si="4"/>
        <v>9</v>
      </c>
      <c r="W15" s="1">
        <f t="shared" si="5"/>
        <v>889605530</v>
      </c>
      <c r="X15" s="1">
        <f t="shared" si="6"/>
        <v>9</v>
      </c>
      <c r="Y15" s="1">
        <f>IF(COUNTIF(X$6:X15,X15)&gt;1,1,0)</f>
        <v>0</v>
      </c>
      <c r="Z15" s="1">
        <f t="shared" si="7"/>
        <v>889605530</v>
      </c>
      <c r="AA15" s="1">
        <f t="shared" si="8"/>
        <v>9</v>
      </c>
      <c r="AB15" s="1">
        <f>IF(COUNTIF(AA$6:AA15,AA15)&gt;1,1,0)</f>
        <v>0</v>
      </c>
      <c r="AC15" s="1">
        <f t="shared" si="9"/>
        <v>889605530</v>
      </c>
      <c r="AD15" s="1">
        <f t="shared" si="10"/>
        <v>9</v>
      </c>
      <c r="AE15" s="1">
        <f>IF(COUNTIF(AD$6:AD15,AD15)&gt;1,1,0)</f>
        <v>0</v>
      </c>
      <c r="AF15" s="1">
        <f t="shared" si="11"/>
        <v>889605530</v>
      </c>
      <c r="AG15" s="1">
        <f t="shared" si="12"/>
        <v>9</v>
      </c>
      <c r="AH15" s="1">
        <f>IF(COUNTIF(AG$6:AG15,AG15)&gt;1,1,0)</f>
        <v>0</v>
      </c>
      <c r="AI15" s="1">
        <f t="shared" si="13"/>
        <v>889605530</v>
      </c>
      <c r="AJ15" s="1">
        <f t="shared" si="14"/>
        <v>9</v>
      </c>
      <c r="AK15" s="1">
        <f>IF(COUNTIF(AJ$6:AJ15,AJ15)&gt;1,1,0)</f>
        <v>0</v>
      </c>
      <c r="AL15" s="1">
        <f t="shared" si="15"/>
        <v>889605530</v>
      </c>
      <c r="AM15" s="1">
        <f t="shared" si="16"/>
        <v>9</v>
      </c>
      <c r="AN15" s="1">
        <f>IF(COUNTIF(AM$6:AM15,AM15)&gt;1,1,0)</f>
        <v>0</v>
      </c>
      <c r="AO15" s="1">
        <f t="shared" si="17"/>
        <v>889605530</v>
      </c>
      <c r="AP15" s="1">
        <f t="shared" si="18"/>
        <v>9</v>
      </c>
      <c r="AQ15" s="1">
        <f>IF(COUNTIF(AP$6:AP15,AP15)&gt;1,1,0)</f>
        <v>0</v>
      </c>
      <c r="AR15" s="1">
        <f t="shared" si="19"/>
        <v>889605530</v>
      </c>
      <c r="AS15" s="1">
        <f t="shared" si="20"/>
        <v>9</v>
      </c>
      <c r="AT15" s="1">
        <f>IF(COUNTIF(AS$6:AS15,AS15)&gt;1,1,0)</f>
        <v>0</v>
      </c>
      <c r="AU15" s="1">
        <f t="shared" si="21"/>
        <v>889605530</v>
      </c>
      <c r="AV15" s="1">
        <f t="shared" si="22"/>
        <v>9</v>
      </c>
      <c r="AW15" s="1">
        <f>IF(COUNTIF(AV$6:AV15,AV15)&gt;1,1,0)</f>
        <v>0</v>
      </c>
      <c r="AX15" s="1">
        <f t="shared" si="23"/>
        <v>889605530</v>
      </c>
      <c r="AY15" s="1">
        <f t="shared" si="24"/>
        <v>9</v>
      </c>
      <c r="AZ15" s="1">
        <f>IF(COUNTIF(AY$6:AY15,AY15)&gt;1,1,0)</f>
        <v>0</v>
      </c>
      <c r="BA15" s="1">
        <f t="shared" si="25"/>
        <v>889605530</v>
      </c>
      <c r="BB15" s="1">
        <f t="shared" si="26"/>
        <v>9</v>
      </c>
      <c r="BC15" s="1">
        <f>IF(COUNTIF(BB$6:BB15,BB15)&gt;1,1,0)</f>
        <v>0</v>
      </c>
      <c r="BD15" s="1">
        <f t="shared" si="27"/>
        <v>889605530</v>
      </c>
      <c r="BE15" s="1">
        <f t="shared" si="28"/>
        <v>9</v>
      </c>
    </row>
    <row r="16" spans="1:57" ht="16.5">
      <c r="A16" t="s">
        <v>2</v>
      </c>
      <c r="B16">
        <v>14</v>
      </c>
      <c r="C16">
        <v>2</v>
      </c>
      <c r="D16" t="str">
        <f>VLOOKUP($C16,'2.Spieltag'!$AD$40:$AK$51,D$1,FALSE)</f>
        <v>KRM Essen</v>
      </c>
      <c r="E16" t="str">
        <f>VLOOKUP($C16,'2.Spieltag'!$AD$40:$AK$51,E$1,FALSE)</f>
        <v>A</v>
      </c>
      <c r="F16">
        <f>VLOOKUP($C16,'2.Spieltag'!$AD$40:$AK$51,F$1,FALSE)</f>
        <v>5</v>
      </c>
      <c r="G16">
        <f>VLOOKUP($C16,'2.Spieltag'!$AD$40:$AK$51,G$1,FALSE)</f>
        <v>0</v>
      </c>
      <c r="H16">
        <f>VLOOKUP($C16,'2.Spieltag'!$AD$40:$AK$51,H$1,FALSE)</f>
        <v>1</v>
      </c>
      <c r="I16">
        <f>VLOOKUP($C16,'2.Spieltag'!$AD$40:$AK$51,I$1,FALSE)</f>
        <v>35</v>
      </c>
      <c r="J16">
        <f>VLOOKUP($C16,'2.Spieltag'!$AD$40:$AK$51,J$1,FALSE)</f>
        <v>17</v>
      </c>
      <c r="L16" t="s">
        <v>10</v>
      </c>
      <c r="M16">
        <f t="shared" si="29"/>
        <v>6</v>
      </c>
      <c r="N16" s="1">
        <f t="shared" si="2"/>
        <v>12</v>
      </c>
      <c r="O16" s="1" t="str">
        <f>Saisondaten!C22</f>
        <v>KSV Glauchau</v>
      </c>
      <c r="P16" s="1" t="str">
        <f>Saisondaten!$C$17</f>
        <v>B</v>
      </c>
      <c r="Q16" s="1">
        <f t="shared" si="3"/>
        <v>0</v>
      </c>
      <c r="R16" s="1">
        <f t="shared" si="1"/>
        <v>1</v>
      </c>
      <c r="S16" s="1">
        <f t="shared" si="1"/>
        <v>10</v>
      </c>
      <c r="T16" s="1">
        <f t="shared" si="1"/>
        <v>22</v>
      </c>
      <c r="U16" s="1">
        <f t="shared" si="1"/>
        <v>56</v>
      </c>
      <c r="V16" s="1">
        <f t="shared" si="4"/>
        <v>1</v>
      </c>
      <c r="W16" s="1">
        <f t="shared" si="5"/>
        <v>69948901</v>
      </c>
      <c r="X16" s="1">
        <f t="shared" si="6"/>
        <v>12</v>
      </c>
      <c r="Y16" s="1">
        <f>IF(COUNTIF(X$6:X16,X16)&gt;1,1,0)</f>
        <v>0</v>
      </c>
      <c r="Z16" s="1">
        <f t="shared" si="7"/>
        <v>69948901</v>
      </c>
      <c r="AA16" s="1">
        <f t="shared" si="8"/>
        <v>12</v>
      </c>
      <c r="AB16" s="1">
        <f>IF(COUNTIF(AA$6:AA16,AA16)&gt;1,1,0)</f>
        <v>0</v>
      </c>
      <c r="AC16" s="1">
        <f t="shared" si="9"/>
        <v>69948901</v>
      </c>
      <c r="AD16" s="1">
        <f t="shared" si="10"/>
        <v>12</v>
      </c>
      <c r="AE16" s="1">
        <f>IF(COUNTIF(AD$6:AD16,AD16)&gt;1,1,0)</f>
        <v>0</v>
      </c>
      <c r="AF16" s="1">
        <f t="shared" si="11"/>
        <v>69948901</v>
      </c>
      <c r="AG16" s="1">
        <f t="shared" si="12"/>
        <v>12</v>
      </c>
      <c r="AH16" s="1">
        <f>IF(COUNTIF(AG$6:AG16,AG16)&gt;1,1,0)</f>
        <v>0</v>
      </c>
      <c r="AI16" s="1">
        <f t="shared" si="13"/>
        <v>69948901</v>
      </c>
      <c r="AJ16" s="1">
        <f t="shared" si="14"/>
        <v>12</v>
      </c>
      <c r="AK16" s="1">
        <f>IF(COUNTIF(AJ$6:AJ16,AJ16)&gt;1,1,0)</f>
        <v>0</v>
      </c>
      <c r="AL16" s="1">
        <f t="shared" si="15"/>
        <v>69948901</v>
      </c>
      <c r="AM16" s="1">
        <f t="shared" si="16"/>
        <v>12</v>
      </c>
      <c r="AN16" s="1">
        <f>IF(COUNTIF(AM$6:AM16,AM16)&gt;1,1,0)</f>
        <v>0</v>
      </c>
      <c r="AO16" s="1">
        <f t="shared" si="17"/>
        <v>69948901</v>
      </c>
      <c r="AP16" s="1">
        <f t="shared" si="18"/>
        <v>12</v>
      </c>
      <c r="AQ16" s="1">
        <f>IF(COUNTIF(AP$6:AP16,AP16)&gt;1,1,0)</f>
        <v>0</v>
      </c>
      <c r="AR16" s="1">
        <f t="shared" si="19"/>
        <v>69948901</v>
      </c>
      <c r="AS16" s="1">
        <f t="shared" si="20"/>
        <v>12</v>
      </c>
      <c r="AT16" s="1">
        <f>IF(COUNTIF(AS$6:AS16,AS16)&gt;1,1,0)</f>
        <v>0</v>
      </c>
      <c r="AU16" s="1">
        <f t="shared" si="21"/>
        <v>69948901</v>
      </c>
      <c r="AV16" s="1">
        <f t="shared" si="22"/>
        <v>12</v>
      </c>
      <c r="AW16" s="1">
        <f>IF(COUNTIF(AV$6:AV16,AV16)&gt;1,1,0)</f>
        <v>0</v>
      </c>
      <c r="AX16" s="1">
        <f t="shared" si="23"/>
        <v>69948901</v>
      </c>
      <c r="AY16" s="1">
        <f t="shared" si="24"/>
        <v>12</v>
      </c>
      <c r="AZ16" s="1">
        <f>IF(COUNTIF(AY$6:AY16,AY16)&gt;1,1,0)</f>
        <v>0</v>
      </c>
      <c r="BA16" s="1">
        <f t="shared" si="25"/>
        <v>69948901</v>
      </c>
      <c r="BB16" s="1">
        <f t="shared" si="26"/>
        <v>12</v>
      </c>
      <c r="BC16" s="1">
        <f>IF(COUNTIF(BB$6:BB16,BB16)&gt;1,1,0)</f>
        <v>0</v>
      </c>
      <c r="BD16" s="1">
        <f t="shared" si="27"/>
        <v>69948901</v>
      </c>
      <c r="BE16" s="1">
        <f t="shared" si="28"/>
        <v>12</v>
      </c>
    </row>
    <row r="17" spans="1:57" ht="16.5">
      <c r="A17" t="s">
        <v>2</v>
      </c>
      <c r="B17">
        <v>15</v>
      </c>
      <c r="C17">
        <v>3</v>
      </c>
      <c r="D17" t="str">
        <f>VLOOKUP($C17,'2.Spieltag'!$AD$40:$AK$51,D$1,FALSE)</f>
        <v>ACC Hamburg</v>
      </c>
      <c r="E17" t="str">
        <f>VLOOKUP($C17,'2.Spieltag'!$AD$40:$AK$51,E$1,FALSE)</f>
        <v>B</v>
      </c>
      <c r="F17">
        <f>VLOOKUP($C17,'2.Spieltag'!$AD$40:$AK$51,F$1,FALSE)</f>
        <v>5</v>
      </c>
      <c r="G17">
        <f>VLOOKUP($C17,'2.Spieltag'!$AD$40:$AK$51,G$1,FALSE)</f>
        <v>0</v>
      </c>
      <c r="H17">
        <f>VLOOKUP($C17,'2.Spieltag'!$AD$40:$AK$51,H$1,FALSE)</f>
        <v>1</v>
      </c>
      <c r="I17">
        <f>VLOOKUP($C17,'2.Spieltag'!$AD$40:$AK$51,I$1,FALSE)</f>
        <v>30</v>
      </c>
      <c r="J17">
        <f>VLOOKUP($C17,'2.Spieltag'!$AD$40:$AK$51,J$1,FALSE)</f>
        <v>15</v>
      </c>
      <c r="L17" t="s">
        <v>10</v>
      </c>
      <c r="M17">
        <f t="shared" si="29"/>
        <v>4</v>
      </c>
      <c r="N17" s="1">
        <f t="shared" si="2"/>
        <v>6</v>
      </c>
      <c r="O17" s="1" t="str">
        <f>Saisondaten!C23</f>
        <v>KSVH Berlin</v>
      </c>
      <c r="P17" s="1" t="str">
        <f>Saisondaten!$C$17</f>
        <v>B</v>
      </c>
      <c r="Q17" s="1">
        <f t="shared" si="3"/>
        <v>6</v>
      </c>
      <c r="R17" s="1">
        <f t="shared" si="1"/>
        <v>1</v>
      </c>
      <c r="S17" s="1">
        <f t="shared" si="1"/>
        <v>4</v>
      </c>
      <c r="T17" s="1">
        <f t="shared" si="1"/>
        <v>41</v>
      </c>
      <c r="U17" s="1">
        <f t="shared" si="1"/>
        <v>35</v>
      </c>
      <c r="V17" s="1">
        <f t="shared" si="4"/>
        <v>19</v>
      </c>
      <c r="W17" s="1">
        <f t="shared" si="5"/>
        <v>1905652166</v>
      </c>
      <c r="X17" s="1">
        <f t="shared" si="6"/>
        <v>6</v>
      </c>
      <c r="Y17" s="1">
        <f>IF(COUNTIF(X$6:X17,X17)&gt;1,1,0)</f>
        <v>0</v>
      </c>
      <c r="Z17" s="1">
        <f t="shared" si="7"/>
        <v>1905652166</v>
      </c>
      <c r="AA17" s="1">
        <f t="shared" si="8"/>
        <v>6</v>
      </c>
      <c r="AB17" s="1">
        <f>IF(COUNTIF(AA$6:AA17,AA17)&gt;1,1,0)</f>
        <v>0</v>
      </c>
      <c r="AC17" s="1">
        <f t="shared" si="9"/>
        <v>1905652166</v>
      </c>
      <c r="AD17" s="1">
        <f t="shared" si="10"/>
        <v>6</v>
      </c>
      <c r="AE17" s="1">
        <f>IF(COUNTIF(AD$6:AD17,AD17)&gt;1,1,0)</f>
        <v>0</v>
      </c>
      <c r="AF17" s="1">
        <f t="shared" si="11"/>
        <v>1905652166</v>
      </c>
      <c r="AG17" s="1">
        <f t="shared" si="12"/>
        <v>6</v>
      </c>
      <c r="AH17" s="1">
        <f>IF(COUNTIF(AG$6:AG17,AG17)&gt;1,1,0)</f>
        <v>0</v>
      </c>
      <c r="AI17" s="1">
        <f t="shared" si="13"/>
        <v>1905652166</v>
      </c>
      <c r="AJ17" s="1">
        <f t="shared" si="14"/>
        <v>6</v>
      </c>
      <c r="AK17" s="1">
        <f>IF(COUNTIF(AJ$6:AJ17,AJ17)&gt;1,1,0)</f>
        <v>0</v>
      </c>
      <c r="AL17" s="1">
        <f t="shared" si="15"/>
        <v>1905652166</v>
      </c>
      <c r="AM17" s="1">
        <f t="shared" si="16"/>
        <v>6</v>
      </c>
      <c r="AN17" s="1">
        <f>IF(COUNTIF(AM$6:AM17,AM17)&gt;1,1,0)</f>
        <v>0</v>
      </c>
      <c r="AO17" s="1">
        <f t="shared" si="17"/>
        <v>1905652166</v>
      </c>
      <c r="AP17" s="1">
        <f t="shared" si="18"/>
        <v>6</v>
      </c>
      <c r="AQ17" s="1">
        <f>IF(COUNTIF(AP$6:AP17,AP17)&gt;1,1,0)</f>
        <v>0</v>
      </c>
      <c r="AR17" s="1">
        <f t="shared" si="19"/>
        <v>1905652166</v>
      </c>
      <c r="AS17" s="1">
        <f t="shared" si="20"/>
        <v>6</v>
      </c>
      <c r="AT17" s="1">
        <f>IF(COUNTIF(AS$6:AS17,AS17)&gt;1,1,0)</f>
        <v>0</v>
      </c>
      <c r="AU17" s="1">
        <f t="shared" si="21"/>
        <v>1905652166</v>
      </c>
      <c r="AV17" s="1">
        <f t="shared" si="22"/>
        <v>6</v>
      </c>
      <c r="AW17" s="1">
        <f>IF(COUNTIF(AV$6:AV17,AV17)&gt;1,1,0)</f>
        <v>0</v>
      </c>
      <c r="AX17" s="1">
        <f t="shared" si="23"/>
        <v>1905652166</v>
      </c>
      <c r="AY17" s="1">
        <f t="shared" si="24"/>
        <v>6</v>
      </c>
      <c r="AZ17" s="1">
        <f>IF(COUNTIF(AY$6:AY17,AY17)&gt;1,1,0)</f>
        <v>0</v>
      </c>
      <c r="BA17" s="1">
        <f t="shared" si="25"/>
        <v>1905652166</v>
      </c>
      <c r="BB17" s="1">
        <f t="shared" si="26"/>
        <v>6</v>
      </c>
      <c r="BC17" s="1">
        <f>IF(COUNTIF(BB$6:BB17,BB17)&gt;1,1,0)</f>
        <v>0</v>
      </c>
      <c r="BD17" s="1">
        <f t="shared" si="27"/>
        <v>1905652166</v>
      </c>
      <c r="BE17" s="1">
        <f t="shared" si="28"/>
        <v>6</v>
      </c>
    </row>
    <row r="18" spans="1:17" ht="16.5">
      <c r="A18" t="s">
        <v>2</v>
      </c>
      <c r="B18">
        <v>16</v>
      </c>
      <c r="C18">
        <v>4</v>
      </c>
      <c r="D18" t="str">
        <f>VLOOKUP($C18,'2.Spieltag'!$AD$40:$AK$51,D$1,FALSE)</f>
        <v>KCNW Berlin</v>
      </c>
      <c r="E18" t="str">
        <f>VLOOKUP($C18,'2.Spieltag'!$AD$40:$AK$51,E$1,FALSE)</f>
        <v>B</v>
      </c>
      <c r="F18">
        <f>VLOOKUP($C18,'2.Spieltag'!$AD$40:$AK$51,F$1,FALSE)</f>
        <v>3</v>
      </c>
      <c r="G18">
        <f>VLOOKUP($C18,'2.Spieltag'!$AD$40:$AK$51,G$1,FALSE)</f>
        <v>1</v>
      </c>
      <c r="H18">
        <f>VLOOKUP($C18,'2.Spieltag'!$AD$40:$AK$51,H$1,FALSE)</f>
        <v>2</v>
      </c>
      <c r="I18">
        <f>VLOOKUP($C18,'2.Spieltag'!$AD$40:$AK$51,I$1,FALSE)</f>
        <v>21</v>
      </c>
      <c r="J18">
        <f>VLOOKUP($C18,'2.Spieltag'!$AD$40:$AK$51,J$1,FALSE)</f>
        <v>15</v>
      </c>
      <c r="Q18" s="1">
        <f>SUM(Q6:S17)</f>
        <v>132</v>
      </c>
    </row>
    <row r="19" spans="1:10" ht="15">
      <c r="A19" t="s">
        <v>2</v>
      </c>
      <c r="B19">
        <v>17</v>
      </c>
      <c r="C19">
        <v>5</v>
      </c>
      <c r="D19" t="str">
        <f>VLOOKUP($C19,'2.Spieltag'!$AD$40:$AK$51,D$1,FALSE)</f>
        <v>RSV Hannover</v>
      </c>
      <c r="E19" t="str">
        <f>VLOOKUP($C19,'2.Spieltag'!$AD$40:$AK$51,E$1,FALSE)</f>
        <v>B</v>
      </c>
      <c r="F19">
        <f>VLOOKUP($C19,'2.Spieltag'!$AD$40:$AK$51,F$1,FALSE)</f>
        <v>3</v>
      </c>
      <c r="G19">
        <f>VLOOKUP($C19,'2.Spieltag'!$AD$40:$AK$51,G$1,FALSE)</f>
        <v>1</v>
      </c>
      <c r="H19">
        <f>VLOOKUP($C19,'2.Spieltag'!$AD$40:$AK$51,H$1,FALSE)</f>
        <v>2</v>
      </c>
      <c r="I19">
        <f>VLOOKUP($C19,'2.Spieltag'!$AD$40:$AK$51,I$1,FALSE)</f>
        <v>21</v>
      </c>
      <c r="J19">
        <f>VLOOKUP($C19,'2.Spieltag'!$AD$40:$AK$51,J$1,FALSE)</f>
        <v>20</v>
      </c>
    </row>
    <row r="20" spans="1:14" ht="15">
      <c r="A20" t="s">
        <v>2</v>
      </c>
      <c r="B20">
        <v>18</v>
      </c>
      <c r="C20">
        <v>6</v>
      </c>
      <c r="D20" t="str">
        <f>VLOOKUP($C20,'2.Spieltag'!$AD$40:$AK$51,D$1,FALSE)</f>
        <v>1. MKC Duisburg</v>
      </c>
      <c r="E20" t="str">
        <f>VLOOKUP($C20,'2.Spieltag'!$AD$40:$AK$51,E$1,FALSE)</f>
        <v>A</v>
      </c>
      <c r="F20">
        <f>VLOOKUP($C20,'2.Spieltag'!$AD$40:$AK$51,F$1,FALSE)</f>
        <v>2</v>
      </c>
      <c r="G20">
        <f>VLOOKUP($C20,'2.Spieltag'!$AD$40:$AK$51,G$1,FALSE)</f>
        <v>2</v>
      </c>
      <c r="H20">
        <f>VLOOKUP($C20,'2.Spieltag'!$AD$40:$AK$51,H$1,FALSE)</f>
        <v>2</v>
      </c>
      <c r="I20">
        <f>VLOOKUP($C20,'2.Spieltag'!$AD$40:$AK$51,I$1,FALSE)</f>
        <v>21</v>
      </c>
      <c r="J20">
        <f>VLOOKUP($C20,'2.Spieltag'!$AD$40:$AK$51,J$1,FALSE)</f>
        <v>18</v>
      </c>
      <c r="N20" t="s">
        <v>64</v>
      </c>
    </row>
    <row r="21" spans="1:57" ht="16.5">
      <c r="A21" t="s">
        <v>2</v>
      </c>
      <c r="B21">
        <v>19</v>
      </c>
      <c r="C21">
        <v>7</v>
      </c>
      <c r="D21" t="str">
        <f>VLOOKUP($C21,'2.Spieltag'!$AD$40:$AK$51,D$1,FALSE)</f>
        <v>KGW Essen</v>
      </c>
      <c r="E21" t="str">
        <f>VLOOKUP($C21,'2.Spieltag'!$AD$40:$AK$51,E$1,FALSE)</f>
        <v>A</v>
      </c>
      <c r="F21">
        <f>VLOOKUP($C21,'2.Spieltag'!$AD$40:$AK$51,F$1,FALSE)</f>
        <v>2</v>
      </c>
      <c r="G21">
        <f>VLOOKUP($C21,'2.Spieltag'!$AD$40:$AK$51,G$1,FALSE)</f>
        <v>2</v>
      </c>
      <c r="H21">
        <f>VLOOKUP($C21,'2.Spieltag'!$AD$40:$AK$51,H$1,FALSE)</f>
        <v>2</v>
      </c>
      <c r="I21">
        <f>VLOOKUP($C21,'2.Spieltag'!$AD$40:$AK$51,I$1,FALSE)</f>
        <v>12</v>
      </c>
      <c r="J21">
        <f>VLOOKUP($C21,'2.Spieltag'!$AD$40:$AK$51,J$1,FALSE)</f>
        <v>17</v>
      </c>
      <c r="N21" s="1" t="s">
        <v>70</v>
      </c>
      <c r="O21" s="63" t="s">
        <v>45</v>
      </c>
      <c r="P21" s="1" t="s">
        <v>8</v>
      </c>
      <c r="Q21" s="1" t="s">
        <v>54</v>
      </c>
      <c r="R21" s="1" t="s">
        <v>47</v>
      </c>
      <c r="S21" s="1" t="s">
        <v>53</v>
      </c>
      <c r="T21" s="1" t="s">
        <v>50</v>
      </c>
      <c r="U21" s="1" t="s">
        <v>23</v>
      </c>
      <c r="V21" s="1" t="s">
        <v>69</v>
      </c>
      <c r="W21" s="349" t="s">
        <v>71</v>
      </c>
      <c r="X21" s="349"/>
      <c r="Y21" s="349"/>
      <c r="Z21" s="34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6.5">
      <c r="A22" t="s">
        <v>2</v>
      </c>
      <c r="B22">
        <v>20</v>
      </c>
      <c r="C22">
        <v>8</v>
      </c>
      <c r="D22" t="str">
        <f>VLOOKUP($C22,'2.Spieltag'!$AD$40:$AK$51,D$1,FALSE)</f>
        <v>KSVH Berlin</v>
      </c>
      <c r="E22" t="str">
        <f>VLOOKUP($C22,'2.Spieltag'!$AD$40:$AK$51,E$1,FALSE)</f>
        <v>B</v>
      </c>
      <c r="F22">
        <f>VLOOKUP($C22,'2.Spieltag'!$AD$40:$AK$51,F$1,FALSE)</f>
        <v>2</v>
      </c>
      <c r="G22">
        <f>VLOOKUP($C22,'2.Spieltag'!$AD$40:$AK$51,G$1,FALSE)</f>
        <v>1</v>
      </c>
      <c r="H22">
        <f>VLOOKUP($C22,'2.Spieltag'!$AD$40:$AK$51,H$1,FALSE)</f>
        <v>3</v>
      </c>
      <c r="I22">
        <f>VLOOKUP($C22,'2.Spieltag'!$AD$40:$AK$51,I$1,FALSE)</f>
        <v>19</v>
      </c>
      <c r="J22">
        <f>VLOOKUP($C22,'2.Spieltag'!$AD$40:$AK$51,J$1,FALSE)</f>
        <v>18</v>
      </c>
      <c r="N22" s="1">
        <f>RANK(BD22,$BD$22:$BD$33,0)</f>
        <v>1</v>
      </c>
      <c r="O22" s="1" t="str">
        <f>O6</f>
        <v>KRM Essen</v>
      </c>
      <c r="P22" s="1" t="str">
        <f>Saisondaten!$B$17</f>
        <v>A</v>
      </c>
      <c r="Q22" s="1">
        <f>VLOOKUP($O22,$D$27:$J$38,Q$4,FALSE)+VLOOKUP($O22,$D$39:$J$50,Q$4,FALSE)</f>
        <v>4</v>
      </c>
      <c r="R22" s="1">
        <f aca="true" t="shared" si="30" ref="R22:U33">VLOOKUP($O22,$D$27:$J$38,R$4,FALSE)+VLOOKUP($O22,$D$39:$J$50,R$4,FALSE)</f>
        <v>1</v>
      </c>
      <c r="S22" s="1">
        <f t="shared" si="30"/>
        <v>0</v>
      </c>
      <c r="T22" s="1">
        <f t="shared" si="30"/>
        <v>23</v>
      </c>
      <c r="U22" s="1">
        <f t="shared" si="30"/>
        <v>7</v>
      </c>
      <c r="V22" s="1">
        <f>Q22*3+R22*1</f>
        <v>13</v>
      </c>
      <c r="W22" s="1">
        <f>V22*99999999+(T22-U22)*888888+T22*7777</f>
        <v>1314401066</v>
      </c>
      <c r="X22" s="1">
        <f>RANK(W22,W$22:W$33,0)</f>
        <v>1</v>
      </c>
      <c r="Y22" s="1">
        <f>IF(COUNTIF(X22:X$22,X22)&gt;1,1,0)</f>
        <v>0</v>
      </c>
      <c r="Z22" s="1">
        <f>Y22+W22</f>
        <v>1314401066</v>
      </c>
      <c r="AA22" s="1">
        <f>RANK(Z22,Z$22:Z$33,0)</f>
        <v>1</v>
      </c>
      <c r="AB22" s="1">
        <f>IF(COUNTIF(AA22:AA$22,AA22)&gt;1,1,0)</f>
        <v>0</v>
      </c>
      <c r="AC22" s="1">
        <f>AB22+Z22</f>
        <v>1314401066</v>
      </c>
      <c r="AD22" s="1">
        <f>RANK(AC22,AC$22:AC$33,0)</f>
        <v>1</v>
      </c>
      <c r="AE22" s="1">
        <f>IF(COUNTIF(AD22:AD$22,AD22)&gt;1,1,0)</f>
        <v>0</v>
      </c>
      <c r="AF22" s="1">
        <f>AE22+AC22</f>
        <v>1314401066</v>
      </c>
      <c r="AG22" s="1">
        <f>RANK(AF22,AF$22:AF$33,0)</f>
        <v>1</v>
      </c>
      <c r="AH22" s="1">
        <f>IF(COUNTIF(AG22:AG$22,AG22)&gt;1,1,0)</f>
        <v>0</v>
      </c>
      <c r="AI22" s="1">
        <f>AH22+AF22</f>
        <v>1314401066</v>
      </c>
      <c r="AJ22" s="1">
        <f>RANK(AI22,AI$22:AI$33,0)</f>
        <v>1</v>
      </c>
      <c r="AK22" s="1">
        <f>IF(COUNTIF(AJ22:AJ$22,AJ22)&gt;1,1,0)</f>
        <v>0</v>
      </c>
      <c r="AL22" s="1">
        <f>AK22+AI22</f>
        <v>1314401066</v>
      </c>
      <c r="AM22" s="1">
        <f>RANK(AL22,AL$22:AL$33,0)</f>
        <v>1</v>
      </c>
      <c r="AN22" s="1">
        <f>IF(COUNTIF(AM22:AM$22,AM22)&gt;1,1,0)</f>
        <v>0</v>
      </c>
      <c r="AO22" s="1">
        <f>AN22+AL22</f>
        <v>1314401066</v>
      </c>
      <c r="AP22" s="1">
        <f>RANK(AO22,AO$22:AO$33,0)</f>
        <v>1</v>
      </c>
      <c r="AQ22" s="1">
        <f>IF(COUNTIF(AP22:AP$22,AP22)&gt;1,1,0)</f>
        <v>0</v>
      </c>
      <c r="AR22" s="1">
        <f>AQ22+AO22</f>
        <v>1314401066</v>
      </c>
      <c r="AS22" s="1">
        <f>RANK(AR22,AR$22:AR$33,0)</f>
        <v>1</v>
      </c>
      <c r="AT22" s="1">
        <f>IF(COUNTIF(AS22:AS$22,AS22)&gt;1,1,0)</f>
        <v>0</v>
      </c>
      <c r="AU22" s="1">
        <f>AT22+AR22</f>
        <v>1314401066</v>
      </c>
      <c r="AV22" s="1">
        <f>RANK(AU22,AU$22:AU$33,0)</f>
        <v>1</v>
      </c>
      <c r="AW22" s="1">
        <f>IF(COUNTIF(AV22:AV$22,AV22)&gt;1,1,0)</f>
        <v>0</v>
      </c>
      <c r="AX22" s="1">
        <f>AW22+AU22</f>
        <v>1314401066</v>
      </c>
      <c r="AY22" s="1">
        <f>RANK(AX22,AX$22:AX$33,0)</f>
        <v>1</v>
      </c>
      <c r="AZ22" s="1">
        <f>IF(COUNTIF(AY22:AY$22,AY22)&gt;1,1,0)</f>
        <v>0</v>
      </c>
      <c r="BA22" s="1">
        <f>AZ22+AX22</f>
        <v>1314401066</v>
      </c>
      <c r="BB22" s="1">
        <f>RANK(BA22,BA$22:BA$33,0)</f>
        <v>1</v>
      </c>
      <c r="BC22" s="1">
        <f>IF(COUNTIF(BB22:BB$22,BB22)&gt;1,1,0)</f>
        <v>0</v>
      </c>
      <c r="BD22" s="1">
        <f>BC22+BA22</f>
        <v>1314401066</v>
      </c>
      <c r="BE22" s="1">
        <f>RANK(BD22,BD$22:BD$33,0)</f>
        <v>1</v>
      </c>
    </row>
    <row r="23" spans="1:57" ht="16.5">
      <c r="A23" t="s">
        <v>2</v>
      </c>
      <c r="B23">
        <v>21</v>
      </c>
      <c r="C23">
        <v>9</v>
      </c>
      <c r="D23" t="str">
        <f>VLOOKUP($C23,'2.Spieltag'!$AD$40:$AK$51,D$1,FALSE)</f>
        <v>VK Berlin</v>
      </c>
      <c r="E23" t="str">
        <f>VLOOKUP($C23,'2.Spieltag'!$AD$40:$AK$51,E$1,FALSE)</f>
        <v>B</v>
      </c>
      <c r="F23">
        <f>VLOOKUP($C23,'2.Spieltag'!$AD$40:$AK$51,F$1,FALSE)</f>
        <v>2</v>
      </c>
      <c r="G23">
        <f>VLOOKUP($C23,'2.Spieltag'!$AD$40:$AK$51,G$1,FALSE)</f>
        <v>1</v>
      </c>
      <c r="H23">
        <f>VLOOKUP($C23,'2.Spieltag'!$AD$40:$AK$51,H$1,FALSE)</f>
        <v>3</v>
      </c>
      <c r="I23">
        <f>VLOOKUP($C23,'2.Spieltag'!$AD$40:$AK$51,I$1,FALSE)</f>
        <v>21</v>
      </c>
      <c r="J23">
        <f>VLOOKUP($C23,'2.Spieltag'!$AD$40:$AK$51,J$1,FALSE)</f>
        <v>29</v>
      </c>
      <c r="N23" s="1">
        <f aca="true" t="shared" si="31" ref="N23:N33">RANK(BD23,$BD$22:$BD$33,0)</f>
        <v>2</v>
      </c>
      <c r="O23" s="1" t="str">
        <f aca="true" t="shared" si="32" ref="O23:O33">O7</f>
        <v>WSF Liblar</v>
      </c>
      <c r="P23" s="1" t="str">
        <f>Saisondaten!$B$17</f>
        <v>A</v>
      </c>
      <c r="Q23" s="1">
        <f aca="true" t="shared" si="33" ref="Q23:Q33">VLOOKUP($O23,$D$27:$J$38,Q$4,FALSE)+VLOOKUP($O23,$D$39:$J$50,Q$4,FALSE)</f>
        <v>4</v>
      </c>
      <c r="R23" s="1">
        <f t="shared" si="30"/>
        <v>1</v>
      </c>
      <c r="S23" s="1">
        <f t="shared" si="30"/>
        <v>0</v>
      </c>
      <c r="T23" s="1">
        <f t="shared" si="30"/>
        <v>20</v>
      </c>
      <c r="U23" s="1">
        <f t="shared" si="30"/>
        <v>9</v>
      </c>
      <c r="V23" s="1">
        <f aca="true" t="shared" si="34" ref="V23:V33">Q23*3+R23*1</f>
        <v>13</v>
      </c>
      <c r="W23" s="1">
        <f aca="true" t="shared" si="35" ref="W23:W33">V23*99999999+(T23-U23)*888888+T23*7777</f>
        <v>1309933295</v>
      </c>
      <c r="X23" s="1">
        <f aca="true" t="shared" si="36" ref="X23:X33">RANK(W23,W$22:W$33,0)</f>
        <v>2</v>
      </c>
      <c r="Y23" s="1">
        <f>IF(COUNTIF(X$22:X23,X23)&gt;1,1,0)</f>
        <v>0</v>
      </c>
      <c r="Z23" s="1">
        <f aca="true" t="shared" si="37" ref="Z23:Z33">Y23+W23</f>
        <v>1309933295</v>
      </c>
      <c r="AA23" s="1">
        <f aca="true" t="shared" si="38" ref="AA23:AA33">RANK(Z23,Z$22:Z$33,0)</f>
        <v>2</v>
      </c>
      <c r="AB23" s="1">
        <f>IF(COUNTIF(AA$22:AA23,AA23)&gt;1,1,0)</f>
        <v>0</v>
      </c>
      <c r="AC23" s="1">
        <f aca="true" t="shared" si="39" ref="AC23:AC33">AB23+Z23</f>
        <v>1309933295</v>
      </c>
      <c r="AD23" s="1">
        <f aca="true" t="shared" si="40" ref="AD23:AD33">RANK(AC23,AC$22:AC$33,0)</f>
        <v>2</v>
      </c>
      <c r="AE23" s="1">
        <f>IF(COUNTIF(AD$22:AD23,AD23)&gt;1,1,0)</f>
        <v>0</v>
      </c>
      <c r="AF23" s="1">
        <f aca="true" t="shared" si="41" ref="AF23:AF33">AE23+AC23</f>
        <v>1309933295</v>
      </c>
      <c r="AG23" s="1">
        <f aca="true" t="shared" si="42" ref="AG23:AG33">RANK(AF23,AF$22:AF$33,0)</f>
        <v>2</v>
      </c>
      <c r="AH23" s="1">
        <f>IF(COUNTIF(AG$22:AG23,AG23)&gt;1,1,0)</f>
        <v>0</v>
      </c>
      <c r="AI23" s="1">
        <f aca="true" t="shared" si="43" ref="AI23:AI33">AH23+AF23</f>
        <v>1309933295</v>
      </c>
      <c r="AJ23" s="1">
        <f aca="true" t="shared" si="44" ref="AJ23:AJ33">RANK(AI23,AI$22:AI$33,0)</f>
        <v>2</v>
      </c>
      <c r="AK23" s="1">
        <f>IF(COUNTIF(AJ$22:AJ23,AJ23)&gt;1,1,0)</f>
        <v>0</v>
      </c>
      <c r="AL23" s="1">
        <f aca="true" t="shared" si="45" ref="AL23:AL33">AK23+AI23</f>
        <v>1309933295</v>
      </c>
      <c r="AM23" s="1">
        <f aca="true" t="shared" si="46" ref="AM23:AM33">RANK(AL23,AL$22:AL$33,0)</f>
        <v>2</v>
      </c>
      <c r="AN23" s="1">
        <f>IF(COUNTIF(AM$22:AM23,AM23)&gt;1,1,0)</f>
        <v>0</v>
      </c>
      <c r="AO23" s="1">
        <f aca="true" t="shared" si="47" ref="AO23:AO33">AN23+AL23</f>
        <v>1309933295</v>
      </c>
      <c r="AP23" s="1">
        <f aca="true" t="shared" si="48" ref="AP23:AP33">RANK(AO23,AO$22:AO$33,0)</f>
        <v>2</v>
      </c>
      <c r="AQ23" s="1">
        <f>IF(COUNTIF(AP$22:AP23,AP23)&gt;1,1,0)</f>
        <v>0</v>
      </c>
      <c r="AR23" s="1">
        <f aca="true" t="shared" si="49" ref="AR23:AR33">AQ23+AO23</f>
        <v>1309933295</v>
      </c>
      <c r="AS23" s="1">
        <f aca="true" t="shared" si="50" ref="AS23:AS33">RANK(AR23,AR$22:AR$33,0)</f>
        <v>2</v>
      </c>
      <c r="AT23" s="1">
        <f>IF(COUNTIF(AS$22:AS23,AS23)&gt;1,1,0)</f>
        <v>0</v>
      </c>
      <c r="AU23" s="1">
        <f aca="true" t="shared" si="51" ref="AU23:AU33">AT23+AR23</f>
        <v>1309933295</v>
      </c>
      <c r="AV23" s="1">
        <f aca="true" t="shared" si="52" ref="AV23:AV33">RANK(AU23,AU$22:AU$33,0)</f>
        <v>2</v>
      </c>
      <c r="AW23" s="1">
        <f>IF(COUNTIF(AV$22:AV23,AV23)&gt;1,1,0)</f>
        <v>0</v>
      </c>
      <c r="AX23" s="1">
        <f aca="true" t="shared" si="53" ref="AX23:AX33">AW23+AU23</f>
        <v>1309933295</v>
      </c>
      <c r="AY23" s="1">
        <f aca="true" t="shared" si="54" ref="AY23:AY33">RANK(AX23,AX$22:AX$33,0)</f>
        <v>2</v>
      </c>
      <c r="AZ23" s="1">
        <f>IF(COUNTIF(AY$22:AY23,AY23)&gt;1,1,0)</f>
        <v>0</v>
      </c>
      <c r="BA23" s="1">
        <f aca="true" t="shared" si="55" ref="BA23:BA33">AZ23+AX23</f>
        <v>1309933295</v>
      </c>
      <c r="BB23" s="1">
        <f aca="true" t="shared" si="56" ref="BB23:BB33">RANK(BA23,BA$22:BA$33,0)</f>
        <v>2</v>
      </c>
      <c r="BC23" s="1">
        <f>IF(COUNTIF(BB$22:BB23,BB23)&gt;1,1,0)</f>
        <v>0</v>
      </c>
      <c r="BD23" s="1">
        <f aca="true" t="shared" si="57" ref="BD23:BD33">BC23+BA23</f>
        <v>1309933295</v>
      </c>
      <c r="BE23" s="1">
        <f aca="true" t="shared" si="58" ref="BE23:BE33">RANK(BD23,BD$22:BD$33,0)</f>
        <v>2</v>
      </c>
    </row>
    <row r="24" spans="1:57" ht="16.5">
      <c r="A24" t="s">
        <v>2</v>
      </c>
      <c r="B24">
        <v>22</v>
      </c>
      <c r="C24">
        <v>10</v>
      </c>
      <c r="D24" t="str">
        <f>VLOOKUP($C24,'2.Spieltag'!$AD$40:$AK$51,D$1,FALSE)</f>
        <v>Göttinger PC</v>
      </c>
      <c r="E24" t="str">
        <f>VLOOKUP($C24,'2.Spieltag'!$AD$40:$AK$51,E$1,FALSE)</f>
        <v>A</v>
      </c>
      <c r="F24">
        <f>VLOOKUP($C24,'2.Spieltag'!$AD$40:$AK$51,F$1,FALSE)</f>
        <v>1</v>
      </c>
      <c r="G24">
        <f>VLOOKUP($C24,'2.Spieltag'!$AD$40:$AK$51,G$1,FALSE)</f>
        <v>0</v>
      </c>
      <c r="H24">
        <f>VLOOKUP($C24,'2.Spieltag'!$AD$40:$AK$51,H$1,FALSE)</f>
        <v>5</v>
      </c>
      <c r="I24">
        <f>VLOOKUP($C24,'2.Spieltag'!$AD$40:$AK$51,I$1,FALSE)</f>
        <v>22</v>
      </c>
      <c r="J24">
        <f>VLOOKUP($C24,'2.Spieltag'!$AD$40:$AK$51,J$1,FALSE)</f>
        <v>35</v>
      </c>
      <c r="N24" s="1">
        <f t="shared" si="31"/>
        <v>6</v>
      </c>
      <c r="O24" s="1" t="str">
        <f t="shared" si="32"/>
        <v>1. MKC Duisburg</v>
      </c>
      <c r="P24" s="1" t="str">
        <f>Saisondaten!$B$17</f>
        <v>A</v>
      </c>
      <c r="Q24" s="1">
        <f t="shared" si="33"/>
        <v>2</v>
      </c>
      <c r="R24" s="1">
        <f t="shared" si="30"/>
        <v>1</v>
      </c>
      <c r="S24" s="1">
        <f t="shared" si="30"/>
        <v>2</v>
      </c>
      <c r="T24" s="1">
        <f t="shared" si="30"/>
        <v>14</v>
      </c>
      <c r="U24" s="1">
        <f t="shared" si="30"/>
        <v>10</v>
      </c>
      <c r="V24" s="1">
        <f t="shared" si="34"/>
        <v>7</v>
      </c>
      <c r="W24" s="1">
        <f t="shared" si="35"/>
        <v>703664423</v>
      </c>
      <c r="X24" s="1">
        <f t="shared" si="36"/>
        <v>6</v>
      </c>
      <c r="Y24" s="1">
        <f>IF(COUNTIF(X$22:X24,X24)&gt;1,1,0)</f>
        <v>0</v>
      </c>
      <c r="Z24" s="1">
        <f t="shared" si="37"/>
        <v>703664423</v>
      </c>
      <c r="AA24" s="1">
        <f t="shared" si="38"/>
        <v>6</v>
      </c>
      <c r="AB24" s="1">
        <f>IF(COUNTIF(AA$22:AA24,AA24)&gt;1,1,0)</f>
        <v>0</v>
      </c>
      <c r="AC24" s="1">
        <f t="shared" si="39"/>
        <v>703664423</v>
      </c>
      <c r="AD24" s="1">
        <f t="shared" si="40"/>
        <v>6</v>
      </c>
      <c r="AE24" s="1">
        <f>IF(COUNTIF(AD$22:AD24,AD24)&gt;1,1,0)</f>
        <v>0</v>
      </c>
      <c r="AF24" s="1">
        <f t="shared" si="41"/>
        <v>703664423</v>
      </c>
      <c r="AG24" s="1">
        <f t="shared" si="42"/>
        <v>6</v>
      </c>
      <c r="AH24" s="1">
        <f>IF(COUNTIF(AG$22:AG24,AG24)&gt;1,1,0)</f>
        <v>0</v>
      </c>
      <c r="AI24" s="1">
        <f t="shared" si="43"/>
        <v>703664423</v>
      </c>
      <c r="AJ24" s="1">
        <f t="shared" si="44"/>
        <v>6</v>
      </c>
      <c r="AK24" s="1">
        <f>IF(COUNTIF(AJ$22:AJ24,AJ24)&gt;1,1,0)</f>
        <v>0</v>
      </c>
      <c r="AL24" s="1">
        <f t="shared" si="45"/>
        <v>703664423</v>
      </c>
      <c r="AM24" s="1">
        <f t="shared" si="46"/>
        <v>6</v>
      </c>
      <c r="AN24" s="1">
        <f>IF(COUNTIF(AM$22:AM24,AM24)&gt;1,1,0)</f>
        <v>0</v>
      </c>
      <c r="AO24" s="1">
        <f t="shared" si="47"/>
        <v>703664423</v>
      </c>
      <c r="AP24" s="1">
        <f t="shared" si="48"/>
        <v>6</v>
      </c>
      <c r="AQ24" s="1">
        <f>IF(COUNTIF(AP$22:AP24,AP24)&gt;1,1,0)</f>
        <v>0</v>
      </c>
      <c r="AR24" s="1">
        <f t="shared" si="49"/>
        <v>703664423</v>
      </c>
      <c r="AS24" s="1">
        <f t="shared" si="50"/>
        <v>6</v>
      </c>
      <c r="AT24" s="1">
        <f>IF(COUNTIF(AS$22:AS24,AS24)&gt;1,1,0)</f>
        <v>0</v>
      </c>
      <c r="AU24" s="1">
        <f t="shared" si="51"/>
        <v>703664423</v>
      </c>
      <c r="AV24" s="1">
        <f t="shared" si="52"/>
        <v>6</v>
      </c>
      <c r="AW24" s="1">
        <f>IF(COUNTIF(AV$22:AV24,AV24)&gt;1,1,0)</f>
        <v>0</v>
      </c>
      <c r="AX24" s="1">
        <f t="shared" si="53"/>
        <v>703664423</v>
      </c>
      <c r="AY24" s="1">
        <f t="shared" si="54"/>
        <v>6</v>
      </c>
      <c r="AZ24" s="1">
        <f>IF(COUNTIF(AY$22:AY24,AY24)&gt;1,1,0)</f>
        <v>0</v>
      </c>
      <c r="BA24" s="1">
        <f t="shared" si="55"/>
        <v>703664423</v>
      </c>
      <c r="BB24" s="1">
        <f t="shared" si="56"/>
        <v>6</v>
      </c>
      <c r="BC24" s="1">
        <f>IF(COUNTIF(BB$22:BB24,BB24)&gt;1,1,0)</f>
        <v>0</v>
      </c>
      <c r="BD24" s="1">
        <f t="shared" si="57"/>
        <v>703664423</v>
      </c>
      <c r="BE24" s="1">
        <f t="shared" si="58"/>
        <v>6</v>
      </c>
    </row>
    <row r="25" spans="1:57" ht="16.5">
      <c r="A25" t="s">
        <v>2</v>
      </c>
      <c r="B25">
        <v>23</v>
      </c>
      <c r="C25">
        <v>11</v>
      </c>
      <c r="D25" t="str">
        <f>VLOOKUP($C25,'2.Spieltag'!$AD$40:$AK$51,D$1,FALSE)</f>
        <v>KC Wetter</v>
      </c>
      <c r="E25" t="str">
        <f>VLOOKUP($C25,'2.Spieltag'!$AD$40:$AK$51,E$1,FALSE)</f>
        <v>A</v>
      </c>
      <c r="F25">
        <f>VLOOKUP($C25,'2.Spieltag'!$AD$40:$AK$51,F$1,FALSE)</f>
        <v>1</v>
      </c>
      <c r="G25">
        <f>VLOOKUP($C25,'2.Spieltag'!$AD$40:$AK$51,G$1,FALSE)</f>
        <v>0</v>
      </c>
      <c r="H25">
        <f>VLOOKUP($C25,'2.Spieltag'!$AD$40:$AK$51,H$1,FALSE)</f>
        <v>5</v>
      </c>
      <c r="I25">
        <f>VLOOKUP($C25,'2.Spieltag'!$AD$40:$AK$51,I$1,FALSE)</f>
        <v>13</v>
      </c>
      <c r="J25">
        <f>VLOOKUP($C25,'2.Spieltag'!$AD$40:$AK$51,J$1,FALSE)</f>
        <v>28</v>
      </c>
      <c r="N25" s="1">
        <f t="shared" si="31"/>
        <v>8</v>
      </c>
      <c r="O25" s="1" t="str">
        <f t="shared" si="32"/>
        <v>KC Wetter</v>
      </c>
      <c r="P25" s="1" t="str">
        <f>Saisondaten!$B$17</f>
        <v>A</v>
      </c>
      <c r="Q25" s="1">
        <f t="shared" si="33"/>
        <v>1</v>
      </c>
      <c r="R25" s="1">
        <f t="shared" si="30"/>
        <v>2</v>
      </c>
      <c r="S25" s="1">
        <f t="shared" si="30"/>
        <v>2</v>
      </c>
      <c r="T25" s="1">
        <f t="shared" si="30"/>
        <v>15</v>
      </c>
      <c r="U25" s="1">
        <f t="shared" si="30"/>
        <v>22</v>
      </c>
      <c r="V25" s="1">
        <f t="shared" si="34"/>
        <v>5</v>
      </c>
      <c r="W25" s="1">
        <f t="shared" si="35"/>
        <v>493894434</v>
      </c>
      <c r="X25" s="1">
        <f t="shared" si="36"/>
        <v>8</v>
      </c>
      <c r="Y25" s="1">
        <f>IF(COUNTIF(X$22:X25,X25)&gt;1,1,0)</f>
        <v>0</v>
      </c>
      <c r="Z25" s="1">
        <f t="shared" si="37"/>
        <v>493894434</v>
      </c>
      <c r="AA25" s="1">
        <f t="shared" si="38"/>
        <v>8</v>
      </c>
      <c r="AB25" s="1">
        <f>IF(COUNTIF(AA$22:AA25,AA25)&gt;1,1,0)</f>
        <v>0</v>
      </c>
      <c r="AC25" s="1">
        <f t="shared" si="39"/>
        <v>493894434</v>
      </c>
      <c r="AD25" s="1">
        <f t="shared" si="40"/>
        <v>8</v>
      </c>
      <c r="AE25" s="1">
        <f>IF(COUNTIF(AD$22:AD25,AD25)&gt;1,1,0)</f>
        <v>0</v>
      </c>
      <c r="AF25" s="1">
        <f t="shared" si="41"/>
        <v>493894434</v>
      </c>
      <c r="AG25" s="1">
        <f t="shared" si="42"/>
        <v>8</v>
      </c>
      <c r="AH25" s="1">
        <f>IF(COUNTIF(AG$22:AG25,AG25)&gt;1,1,0)</f>
        <v>0</v>
      </c>
      <c r="AI25" s="1">
        <f t="shared" si="43"/>
        <v>493894434</v>
      </c>
      <c r="AJ25" s="1">
        <f t="shared" si="44"/>
        <v>8</v>
      </c>
      <c r="AK25" s="1">
        <f>IF(COUNTIF(AJ$22:AJ25,AJ25)&gt;1,1,0)</f>
        <v>0</v>
      </c>
      <c r="AL25" s="1">
        <f t="shared" si="45"/>
        <v>493894434</v>
      </c>
      <c r="AM25" s="1">
        <f t="shared" si="46"/>
        <v>8</v>
      </c>
      <c r="AN25" s="1">
        <f>IF(COUNTIF(AM$22:AM25,AM25)&gt;1,1,0)</f>
        <v>0</v>
      </c>
      <c r="AO25" s="1">
        <f t="shared" si="47"/>
        <v>493894434</v>
      </c>
      <c r="AP25" s="1">
        <f t="shared" si="48"/>
        <v>8</v>
      </c>
      <c r="AQ25" s="1">
        <f>IF(COUNTIF(AP$22:AP25,AP25)&gt;1,1,0)</f>
        <v>0</v>
      </c>
      <c r="AR25" s="1">
        <f t="shared" si="49"/>
        <v>493894434</v>
      </c>
      <c r="AS25" s="1">
        <f t="shared" si="50"/>
        <v>8</v>
      </c>
      <c r="AT25" s="1">
        <f>IF(COUNTIF(AS$22:AS25,AS25)&gt;1,1,0)</f>
        <v>0</v>
      </c>
      <c r="AU25" s="1">
        <f t="shared" si="51"/>
        <v>493894434</v>
      </c>
      <c r="AV25" s="1">
        <f t="shared" si="52"/>
        <v>8</v>
      </c>
      <c r="AW25" s="1">
        <f>IF(COUNTIF(AV$22:AV25,AV25)&gt;1,1,0)</f>
        <v>0</v>
      </c>
      <c r="AX25" s="1">
        <f t="shared" si="53"/>
        <v>493894434</v>
      </c>
      <c r="AY25" s="1">
        <f t="shared" si="54"/>
        <v>8</v>
      </c>
      <c r="AZ25" s="1">
        <f>IF(COUNTIF(AY$22:AY25,AY25)&gt;1,1,0)</f>
        <v>0</v>
      </c>
      <c r="BA25" s="1">
        <f t="shared" si="55"/>
        <v>493894434</v>
      </c>
      <c r="BB25" s="1">
        <f t="shared" si="56"/>
        <v>8</v>
      </c>
      <c r="BC25" s="1">
        <f>IF(COUNTIF(BB$22:BB25,BB25)&gt;1,1,0)</f>
        <v>0</v>
      </c>
      <c r="BD25" s="1">
        <f t="shared" si="57"/>
        <v>493894434</v>
      </c>
      <c r="BE25" s="1">
        <f t="shared" si="58"/>
        <v>8</v>
      </c>
    </row>
    <row r="26" spans="1:57" ht="16.5">
      <c r="A26" t="s">
        <v>2</v>
      </c>
      <c r="B26">
        <v>24</v>
      </c>
      <c r="C26">
        <v>12</v>
      </c>
      <c r="D26" t="str">
        <f>VLOOKUP($C26,'2.Spieltag'!$AD$40:$AK$51,D$1,FALSE)</f>
        <v>KSV Glauchau</v>
      </c>
      <c r="E26" t="str">
        <f>VLOOKUP($C26,'2.Spieltag'!$AD$40:$AK$51,E$1,FALSE)</f>
        <v>B</v>
      </c>
      <c r="F26">
        <f>VLOOKUP($C26,'2.Spieltag'!$AD$40:$AK$51,F$1,FALSE)</f>
        <v>0</v>
      </c>
      <c r="G26">
        <f>VLOOKUP($C26,'2.Spieltag'!$AD$40:$AK$51,G$1,FALSE)</f>
        <v>0</v>
      </c>
      <c r="H26">
        <f>VLOOKUP($C26,'2.Spieltag'!$AD$40:$AK$51,H$1,FALSE)</f>
        <v>6</v>
      </c>
      <c r="I26">
        <f>VLOOKUP($C26,'2.Spieltag'!$AD$40:$AK$51,I$1,FALSE)</f>
        <v>12</v>
      </c>
      <c r="J26">
        <f>VLOOKUP($C26,'2.Spieltag'!$AD$40:$AK$51,J$1,FALSE)</f>
        <v>33</v>
      </c>
      <c r="N26" s="1">
        <f t="shared" si="31"/>
        <v>10</v>
      </c>
      <c r="O26" s="1" t="str">
        <f t="shared" si="32"/>
        <v>KGW Essen</v>
      </c>
      <c r="P26" s="1" t="str">
        <f>Saisondaten!$B$17</f>
        <v>A</v>
      </c>
      <c r="Q26" s="1">
        <f t="shared" si="33"/>
        <v>0</v>
      </c>
      <c r="R26" s="1">
        <f t="shared" si="30"/>
        <v>2</v>
      </c>
      <c r="S26" s="1">
        <f t="shared" si="30"/>
        <v>3</v>
      </c>
      <c r="T26" s="1">
        <f t="shared" si="30"/>
        <v>13</v>
      </c>
      <c r="U26" s="1">
        <f t="shared" si="30"/>
        <v>20</v>
      </c>
      <c r="V26" s="1">
        <f t="shared" si="34"/>
        <v>2</v>
      </c>
      <c r="W26" s="1">
        <f t="shared" si="35"/>
        <v>193878883</v>
      </c>
      <c r="X26" s="1">
        <f t="shared" si="36"/>
        <v>10</v>
      </c>
      <c r="Y26" s="1">
        <f>IF(COUNTIF(X$22:X26,X26)&gt;1,1,0)</f>
        <v>0</v>
      </c>
      <c r="Z26" s="1">
        <f t="shared" si="37"/>
        <v>193878883</v>
      </c>
      <c r="AA26" s="1">
        <f t="shared" si="38"/>
        <v>10</v>
      </c>
      <c r="AB26" s="1">
        <f>IF(COUNTIF(AA$22:AA26,AA26)&gt;1,1,0)</f>
        <v>0</v>
      </c>
      <c r="AC26" s="1">
        <f t="shared" si="39"/>
        <v>193878883</v>
      </c>
      <c r="AD26" s="1">
        <f t="shared" si="40"/>
        <v>10</v>
      </c>
      <c r="AE26" s="1">
        <f>IF(COUNTIF(AD$22:AD26,AD26)&gt;1,1,0)</f>
        <v>0</v>
      </c>
      <c r="AF26" s="1">
        <f t="shared" si="41"/>
        <v>193878883</v>
      </c>
      <c r="AG26" s="1">
        <f t="shared" si="42"/>
        <v>10</v>
      </c>
      <c r="AH26" s="1">
        <f>IF(COUNTIF(AG$22:AG26,AG26)&gt;1,1,0)</f>
        <v>0</v>
      </c>
      <c r="AI26" s="1">
        <f t="shared" si="43"/>
        <v>193878883</v>
      </c>
      <c r="AJ26" s="1">
        <f t="shared" si="44"/>
        <v>10</v>
      </c>
      <c r="AK26" s="1">
        <f>IF(COUNTIF(AJ$22:AJ26,AJ26)&gt;1,1,0)</f>
        <v>0</v>
      </c>
      <c r="AL26" s="1">
        <f t="shared" si="45"/>
        <v>193878883</v>
      </c>
      <c r="AM26" s="1">
        <f t="shared" si="46"/>
        <v>10</v>
      </c>
      <c r="AN26" s="1">
        <f>IF(COUNTIF(AM$22:AM26,AM26)&gt;1,1,0)</f>
        <v>0</v>
      </c>
      <c r="AO26" s="1">
        <f t="shared" si="47"/>
        <v>193878883</v>
      </c>
      <c r="AP26" s="1">
        <f t="shared" si="48"/>
        <v>10</v>
      </c>
      <c r="AQ26" s="1">
        <f>IF(COUNTIF(AP$22:AP26,AP26)&gt;1,1,0)</f>
        <v>0</v>
      </c>
      <c r="AR26" s="1">
        <f t="shared" si="49"/>
        <v>193878883</v>
      </c>
      <c r="AS26" s="1">
        <f t="shared" si="50"/>
        <v>10</v>
      </c>
      <c r="AT26" s="1">
        <f>IF(COUNTIF(AS$22:AS26,AS26)&gt;1,1,0)</f>
        <v>0</v>
      </c>
      <c r="AU26" s="1">
        <f t="shared" si="51"/>
        <v>193878883</v>
      </c>
      <c r="AV26" s="1">
        <f t="shared" si="52"/>
        <v>10</v>
      </c>
      <c r="AW26" s="1">
        <f>IF(COUNTIF(AV$22:AV26,AV26)&gt;1,1,0)</f>
        <v>0</v>
      </c>
      <c r="AX26" s="1">
        <f t="shared" si="53"/>
        <v>193878883</v>
      </c>
      <c r="AY26" s="1">
        <f t="shared" si="54"/>
        <v>10</v>
      </c>
      <c r="AZ26" s="1">
        <f>IF(COUNTIF(AY$22:AY26,AY26)&gt;1,1,0)</f>
        <v>0</v>
      </c>
      <c r="BA26" s="1">
        <f t="shared" si="55"/>
        <v>193878883</v>
      </c>
      <c r="BB26" s="1">
        <f t="shared" si="56"/>
        <v>10</v>
      </c>
      <c r="BC26" s="1">
        <f>IF(COUNTIF(BB$22:BB26,BB26)&gt;1,1,0)</f>
        <v>0</v>
      </c>
      <c r="BD26" s="1">
        <f t="shared" si="57"/>
        <v>193878883</v>
      </c>
      <c r="BE26" s="1">
        <f t="shared" si="58"/>
        <v>10</v>
      </c>
    </row>
    <row r="27" spans="1:57" ht="16.5">
      <c r="A27" t="s">
        <v>3</v>
      </c>
      <c r="B27">
        <v>25</v>
      </c>
      <c r="C27">
        <v>1</v>
      </c>
      <c r="D27" t="str">
        <f>VLOOKUP($C27,'3.Spieltag'!$AD$40:$AK$51,D$1,FALSE)</f>
        <v>KRM Essen</v>
      </c>
      <c r="E27" t="str">
        <f>VLOOKUP($C27,'3.Spieltag'!$AD$40:$AK$51,E$1,FALSE)</f>
        <v>A</v>
      </c>
      <c r="F27">
        <f>VLOOKUP($C27,'3.Spieltag'!$AD$40:$AK$51,F$1,FALSE)</f>
        <v>4</v>
      </c>
      <c r="G27">
        <f>VLOOKUP($C27,'3.Spieltag'!$AD$40:$AK$51,G$1,FALSE)</f>
        <v>1</v>
      </c>
      <c r="H27">
        <f>VLOOKUP($C27,'3.Spieltag'!$AD$40:$AK$51,H$1,FALSE)</f>
        <v>0</v>
      </c>
      <c r="I27">
        <f>VLOOKUP($C27,'3.Spieltag'!$AD$40:$AK$51,I$1,FALSE)</f>
        <v>23</v>
      </c>
      <c r="J27">
        <f>VLOOKUP($C27,'3.Spieltag'!$AD$40:$AK$51,J$1,FALSE)</f>
        <v>7</v>
      </c>
      <c r="N27" s="1">
        <f t="shared" si="31"/>
        <v>11</v>
      </c>
      <c r="O27" s="1" t="str">
        <f t="shared" si="32"/>
        <v>Göttinger PC</v>
      </c>
      <c r="P27" s="1" t="str">
        <f>Saisondaten!$B$17</f>
        <v>A</v>
      </c>
      <c r="Q27" s="1">
        <f t="shared" si="33"/>
        <v>0</v>
      </c>
      <c r="R27" s="1">
        <f t="shared" si="30"/>
        <v>1</v>
      </c>
      <c r="S27" s="1">
        <f t="shared" si="30"/>
        <v>4</v>
      </c>
      <c r="T27" s="1">
        <f t="shared" si="30"/>
        <v>8</v>
      </c>
      <c r="U27" s="1">
        <f t="shared" si="30"/>
        <v>25</v>
      </c>
      <c r="V27" s="1">
        <f t="shared" si="34"/>
        <v>1</v>
      </c>
      <c r="W27" s="1">
        <f t="shared" si="35"/>
        <v>84951119</v>
      </c>
      <c r="X27" s="1">
        <f t="shared" si="36"/>
        <v>11</v>
      </c>
      <c r="Y27" s="1">
        <f>IF(COUNTIF(X$22:X27,X27)&gt;1,1,0)</f>
        <v>0</v>
      </c>
      <c r="Z27" s="1">
        <f t="shared" si="37"/>
        <v>84951119</v>
      </c>
      <c r="AA27" s="1">
        <f t="shared" si="38"/>
        <v>11</v>
      </c>
      <c r="AB27" s="1">
        <f>IF(COUNTIF(AA$22:AA27,AA27)&gt;1,1,0)</f>
        <v>0</v>
      </c>
      <c r="AC27" s="1">
        <f t="shared" si="39"/>
        <v>84951119</v>
      </c>
      <c r="AD27" s="1">
        <f t="shared" si="40"/>
        <v>11</v>
      </c>
      <c r="AE27" s="1">
        <f>IF(COUNTIF(AD$22:AD27,AD27)&gt;1,1,0)</f>
        <v>0</v>
      </c>
      <c r="AF27" s="1">
        <f t="shared" si="41"/>
        <v>84951119</v>
      </c>
      <c r="AG27" s="1">
        <f t="shared" si="42"/>
        <v>11</v>
      </c>
      <c r="AH27" s="1">
        <f>IF(COUNTIF(AG$22:AG27,AG27)&gt;1,1,0)</f>
        <v>0</v>
      </c>
      <c r="AI27" s="1">
        <f t="shared" si="43"/>
        <v>84951119</v>
      </c>
      <c r="AJ27" s="1">
        <f t="shared" si="44"/>
        <v>11</v>
      </c>
      <c r="AK27" s="1">
        <f>IF(COUNTIF(AJ$22:AJ27,AJ27)&gt;1,1,0)</f>
        <v>0</v>
      </c>
      <c r="AL27" s="1">
        <f t="shared" si="45"/>
        <v>84951119</v>
      </c>
      <c r="AM27" s="1">
        <f t="shared" si="46"/>
        <v>11</v>
      </c>
      <c r="AN27" s="1">
        <f>IF(COUNTIF(AM$22:AM27,AM27)&gt;1,1,0)</f>
        <v>0</v>
      </c>
      <c r="AO27" s="1">
        <f t="shared" si="47"/>
        <v>84951119</v>
      </c>
      <c r="AP27" s="1">
        <f t="shared" si="48"/>
        <v>11</v>
      </c>
      <c r="AQ27" s="1">
        <f>IF(COUNTIF(AP$22:AP27,AP27)&gt;1,1,0)</f>
        <v>0</v>
      </c>
      <c r="AR27" s="1">
        <f t="shared" si="49"/>
        <v>84951119</v>
      </c>
      <c r="AS27" s="1">
        <f t="shared" si="50"/>
        <v>11</v>
      </c>
      <c r="AT27" s="1">
        <f>IF(COUNTIF(AS$22:AS27,AS27)&gt;1,1,0)</f>
        <v>0</v>
      </c>
      <c r="AU27" s="1">
        <f t="shared" si="51"/>
        <v>84951119</v>
      </c>
      <c r="AV27" s="1">
        <f t="shared" si="52"/>
        <v>11</v>
      </c>
      <c r="AW27" s="1">
        <f>IF(COUNTIF(AV$22:AV27,AV27)&gt;1,1,0)</f>
        <v>0</v>
      </c>
      <c r="AX27" s="1">
        <f t="shared" si="53"/>
        <v>84951119</v>
      </c>
      <c r="AY27" s="1">
        <f t="shared" si="54"/>
        <v>11</v>
      </c>
      <c r="AZ27" s="1">
        <f>IF(COUNTIF(AY$22:AY27,AY27)&gt;1,1,0)</f>
        <v>0</v>
      </c>
      <c r="BA27" s="1">
        <f t="shared" si="55"/>
        <v>84951119</v>
      </c>
      <c r="BB27" s="1">
        <f t="shared" si="56"/>
        <v>11</v>
      </c>
      <c r="BC27" s="1">
        <f>IF(COUNTIF(BB$22:BB27,BB27)&gt;1,1,0)</f>
        <v>0</v>
      </c>
      <c r="BD27" s="1">
        <f t="shared" si="57"/>
        <v>84951119</v>
      </c>
      <c r="BE27" s="1">
        <f t="shared" si="58"/>
        <v>11</v>
      </c>
    </row>
    <row r="28" spans="1:57" ht="16.5">
      <c r="A28" t="s">
        <v>3</v>
      </c>
      <c r="B28">
        <v>26</v>
      </c>
      <c r="C28">
        <v>2</v>
      </c>
      <c r="D28" t="str">
        <f>VLOOKUP($C28,'3.Spieltag'!$AD$40:$AK$51,D$1,FALSE)</f>
        <v>WSF Liblar</v>
      </c>
      <c r="E28" t="str">
        <f>VLOOKUP($C28,'3.Spieltag'!$AD$40:$AK$51,E$1,FALSE)</f>
        <v>A</v>
      </c>
      <c r="F28">
        <f>VLOOKUP($C28,'3.Spieltag'!$AD$40:$AK$51,F$1,FALSE)</f>
        <v>4</v>
      </c>
      <c r="G28">
        <f>VLOOKUP($C28,'3.Spieltag'!$AD$40:$AK$51,G$1,FALSE)</f>
        <v>1</v>
      </c>
      <c r="H28">
        <f>VLOOKUP($C28,'3.Spieltag'!$AD$40:$AK$51,H$1,FALSE)</f>
        <v>0</v>
      </c>
      <c r="I28">
        <f>VLOOKUP($C28,'3.Spieltag'!$AD$40:$AK$51,I$1,FALSE)</f>
        <v>20</v>
      </c>
      <c r="J28">
        <f>VLOOKUP($C28,'3.Spieltag'!$AD$40:$AK$51,J$1,FALSE)</f>
        <v>9</v>
      </c>
      <c r="N28" s="1">
        <f t="shared" si="31"/>
        <v>5</v>
      </c>
      <c r="O28" s="1" t="str">
        <f t="shared" si="32"/>
        <v>ACC Hamburg</v>
      </c>
      <c r="P28" s="1" t="str">
        <f>Saisondaten!$C$17</f>
        <v>B</v>
      </c>
      <c r="Q28" s="1">
        <f t="shared" si="33"/>
        <v>3</v>
      </c>
      <c r="R28" s="1">
        <f t="shared" si="30"/>
        <v>1</v>
      </c>
      <c r="S28" s="1">
        <f t="shared" si="30"/>
        <v>1</v>
      </c>
      <c r="T28" s="1">
        <f t="shared" si="30"/>
        <v>21</v>
      </c>
      <c r="U28" s="1">
        <f t="shared" si="30"/>
        <v>10</v>
      </c>
      <c r="V28" s="1">
        <f t="shared" si="34"/>
        <v>10</v>
      </c>
      <c r="W28" s="1">
        <f t="shared" si="35"/>
        <v>1009941075</v>
      </c>
      <c r="X28" s="1">
        <f t="shared" si="36"/>
        <v>5</v>
      </c>
      <c r="Y28" s="1">
        <f>IF(COUNTIF(X$22:X28,X28)&gt;1,1,0)</f>
        <v>0</v>
      </c>
      <c r="Z28" s="1">
        <f t="shared" si="37"/>
        <v>1009941075</v>
      </c>
      <c r="AA28" s="1">
        <f t="shared" si="38"/>
        <v>5</v>
      </c>
      <c r="AB28" s="1">
        <f>IF(COUNTIF(AA$22:AA28,AA28)&gt;1,1,0)</f>
        <v>0</v>
      </c>
      <c r="AC28" s="1">
        <f t="shared" si="39"/>
        <v>1009941075</v>
      </c>
      <c r="AD28" s="1">
        <f t="shared" si="40"/>
        <v>5</v>
      </c>
      <c r="AE28" s="1">
        <f>IF(COUNTIF(AD$22:AD28,AD28)&gt;1,1,0)</f>
        <v>0</v>
      </c>
      <c r="AF28" s="1">
        <f t="shared" si="41"/>
        <v>1009941075</v>
      </c>
      <c r="AG28" s="1">
        <f t="shared" si="42"/>
        <v>5</v>
      </c>
      <c r="AH28" s="1">
        <f>IF(COUNTIF(AG$22:AG28,AG28)&gt;1,1,0)</f>
        <v>0</v>
      </c>
      <c r="AI28" s="1">
        <f t="shared" si="43"/>
        <v>1009941075</v>
      </c>
      <c r="AJ28" s="1">
        <f t="shared" si="44"/>
        <v>5</v>
      </c>
      <c r="AK28" s="1">
        <f>IF(COUNTIF(AJ$22:AJ28,AJ28)&gt;1,1,0)</f>
        <v>0</v>
      </c>
      <c r="AL28" s="1">
        <f t="shared" si="45"/>
        <v>1009941075</v>
      </c>
      <c r="AM28" s="1">
        <f t="shared" si="46"/>
        <v>5</v>
      </c>
      <c r="AN28" s="1">
        <f>IF(COUNTIF(AM$22:AM28,AM28)&gt;1,1,0)</f>
        <v>0</v>
      </c>
      <c r="AO28" s="1">
        <f t="shared" si="47"/>
        <v>1009941075</v>
      </c>
      <c r="AP28" s="1">
        <f t="shared" si="48"/>
        <v>5</v>
      </c>
      <c r="AQ28" s="1">
        <f>IF(COUNTIF(AP$22:AP28,AP28)&gt;1,1,0)</f>
        <v>0</v>
      </c>
      <c r="AR28" s="1">
        <f t="shared" si="49"/>
        <v>1009941075</v>
      </c>
      <c r="AS28" s="1">
        <f t="shared" si="50"/>
        <v>5</v>
      </c>
      <c r="AT28" s="1">
        <f>IF(COUNTIF(AS$22:AS28,AS28)&gt;1,1,0)</f>
        <v>0</v>
      </c>
      <c r="AU28" s="1">
        <f t="shared" si="51"/>
        <v>1009941075</v>
      </c>
      <c r="AV28" s="1">
        <f t="shared" si="52"/>
        <v>5</v>
      </c>
      <c r="AW28" s="1">
        <f>IF(COUNTIF(AV$22:AV28,AV28)&gt;1,1,0)</f>
        <v>0</v>
      </c>
      <c r="AX28" s="1">
        <f t="shared" si="53"/>
        <v>1009941075</v>
      </c>
      <c r="AY28" s="1">
        <f t="shared" si="54"/>
        <v>5</v>
      </c>
      <c r="AZ28" s="1">
        <f>IF(COUNTIF(AY$22:AY28,AY28)&gt;1,1,0)</f>
        <v>0</v>
      </c>
      <c r="BA28" s="1">
        <f t="shared" si="55"/>
        <v>1009941075</v>
      </c>
      <c r="BB28" s="1">
        <f t="shared" si="56"/>
        <v>5</v>
      </c>
      <c r="BC28" s="1">
        <f>IF(COUNTIF(BB$22:BB28,BB28)&gt;1,1,0)</f>
        <v>0</v>
      </c>
      <c r="BD28" s="1">
        <f t="shared" si="57"/>
        <v>1009941075</v>
      </c>
      <c r="BE28" s="1">
        <f t="shared" si="58"/>
        <v>5</v>
      </c>
    </row>
    <row r="29" spans="1:57" ht="16.5">
      <c r="A29" t="s">
        <v>3</v>
      </c>
      <c r="B29">
        <v>27</v>
      </c>
      <c r="C29">
        <v>3</v>
      </c>
      <c r="D29" t="str">
        <f>VLOOKUP($C29,'3.Spieltag'!$AD$40:$AK$51,D$1,FALSE)</f>
        <v>RSV Hannover</v>
      </c>
      <c r="E29" t="str">
        <f>VLOOKUP($C29,'3.Spieltag'!$AD$40:$AK$51,E$1,FALSE)</f>
        <v>B</v>
      </c>
      <c r="F29">
        <f>VLOOKUP($C29,'3.Spieltag'!$AD$40:$AK$51,F$1,FALSE)</f>
        <v>4</v>
      </c>
      <c r="G29">
        <f>VLOOKUP($C29,'3.Spieltag'!$AD$40:$AK$51,G$1,FALSE)</f>
        <v>1</v>
      </c>
      <c r="H29">
        <f>VLOOKUP($C29,'3.Spieltag'!$AD$40:$AK$51,H$1,FALSE)</f>
        <v>0</v>
      </c>
      <c r="I29">
        <f>VLOOKUP($C29,'3.Spieltag'!$AD$40:$AK$51,I$1,FALSE)</f>
        <v>16</v>
      </c>
      <c r="J29">
        <f>VLOOKUP($C29,'3.Spieltag'!$AD$40:$AK$51,J$1,FALSE)</f>
        <v>9</v>
      </c>
      <c r="N29" s="1">
        <f t="shared" si="31"/>
        <v>7</v>
      </c>
      <c r="O29" s="1" t="str">
        <f t="shared" si="32"/>
        <v>KCNW Berlin</v>
      </c>
      <c r="P29" s="1" t="str">
        <f>Saisondaten!$C$17</f>
        <v>B</v>
      </c>
      <c r="Q29" s="1">
        <f t="shared" si="33"/>
        <v>2</v>
      </c>
      <c r="R29" s="1">
        <f t="shared" si="30"/>
        <v>0</v>
      </c>
      <c r="S29" s="1">
        <f t="shared" si="30"/>
        <v>3</v>
      </c>
      <c r="T29" s="1">
        <f t="shared" si="30"/>
        <v>17</v>
      </c>
      <c r="U29" s="1">
        <f t="shared" si="30"/>
        <v>17</v>
      </c>
      <c r="V29" s="1">
        <f t="shared" si="34"/>
        <v>6</v>
      </c>
      <c r="W29" s="1">
        <f t="shared" si="35"/>
        <v>600132203</v>
      </c>
      <c r="X29" s="1">
        <f t="shared" si="36"/>
        <v>7</v>
      </c>
      <c r="Y29" s="1">
        <f>IF(COUNTIF(X$22:X29,X29)&gt;1,1,0)</f>
        <v>0</v>
      </c>
      <c r="Z29" s="1">
        <f t="shared" si="37"/>
        <v>600132203</v>
      </c>
      <c r="AA29" s="1">
        <f t="shared" si="38"/>
        <v>7</v>
      </c>
      <c r="AB29" s="1">
        <f>IF(COUNTIF(AA$22:AA29,AA29)&gt;1,1,0)</f>
        <v>0</v>
      </c>
      <c r="AC29" s="1">
        <f t="shared" si="39"/>
        <v>600132203</v>
      </c>
      <c r="AD29" s="1">
        <f t="shared" si="40"/>
        <v>7</v>
      </c>
      <c r="AE29" s="1">
        <f>IF(COUNTIF(AD$22:AD29,AD29)&gt;1,1,0)</f>
        <v>0</v>
      </c>
      <c r="AF29" s="1">
        <f t="shared" si="41"/>
        <v>600132203</v>
      </c>
      <c r="AG29" s="1">
        <f t="shared" si="42"/>
        <v>7</v>
      </c>
      <c r="AH29" s="1">
        <f>IF(COUNTIF(AG$22:AG29,AG29)&gt;1,1,0)</f>
        <v>0</v>
      </c>
      <c r="AI29" s="1">
        <f t="shared" si="43"/>
        <v>600132203</v>
      </c>
      <c r="AJ29" s="1">
        <f t="shared" si="44"/>
        <v>7</v>
      </c>
      <c r="AK29" s="1">
        <f>IF(COUNTIF(AJ$22:AJ29,AJ29)&gt;1,1,0)</f>
        <v>0</v>
      </c>
      <c r="AL29" s="1">
        <f t="shared" si="45"/>
        <v>600132203</v>
      </c>
      <c r="AM29" s="1">
        <f t="shared" si="46"/>
        <v>7</v>
      </c>
      <c r="AN29" s="1">
        <f>IF(COUNTIF(AM$22:AM29,AM29)&gt;1,1,0)</f>
        <v>0</v>
      </c>
      <c r="AO29" s="1">
        <f t="shared" si="47"/>
        <v>600132203</v>
      </c>
      <c r="AP29" s="1">
        <f t="shared" si="48"/>
        <v>7</v>
      </c>
      <c r="AQ29" s="1">
        <f>IF(COUNTIF(AP$22:AP29,AP29)&gt;1,1,0)</f>
        <v>0</v>
      </c>
      <c r="AR29" s="1">
        <f t="shared" si="49"/>
        <v>600132203</v>
      </c>
      <c r="AS29" s="1">
        <f t="shared" si="50"/>
        <v>7</v>
      </c>
      <c r="AT29" s="1">
        <f>IF(COUNTIF(AS$22:AS29,AS29)&gt;1,1,0)</f>
        <v>0</v>
      </c>
      <c r="AU29" s="1">
        <f t="shared" si="51"/>
        <v>600132203</v>
      </c>
      <c r="AV29" s="1">
        <f t="shared" si="52"/>
        <v>7</v>
      </c>
      <c r="AW29" s="1">
        <f>IF(COUNTIF(AV$22:AV29,AV29)&gt;1,1,0)</f>
        <v>0</v>
      </c>
      <c r="AX29" s="1">
        <f t="shared" si="53"/>
        <v>600132203</v>
      </c>
      <c r="AY29" s="1">
        <f t="shared" si="54"/>
        <v>7</v>
      </c>
      <c r="AZ29" s="1">
        <f>IF(COUNTIF(AY$22:AY29,AY29)&gt;1,1,0)</f>
        <v>0</v>
      </c>
      <c r="BA29" s="1">
        <f t="shared" si="55"/>
        <v>600132203</v>
      </c>
      <c r="BB29" s="1">
        <f t="shared" si="56"/>
        <v>7</v>
      </c>
      <c r="BC29" s="1">
        <f>IF(COUNTIF(BB$22:BB29,BB29)&gt;1,1,0)</f>
        <v>0</v>
      </c>
      <c r="BD29" s="1">
        <f t="shared" si="57"/>
        <v>600132203</v>
      </c>
      <c r="BE29" s="1">
        <f t="shared" si="58"/>
        <v>7</v>
      </c>
    </row>
    <row r="30" spans="1:57" ht="16.5">
      <c r="A30" t="s">
        <v>3</v>
      </c>
      <c r="B30">
        <v>28</v>
      </c>
      <c r="C30">
        <v>4</v>
      </c>
      <c r="D30" t="str">
        <f>VLOOKUP($C30,'3.Spieltag'!$AD$40:$AK$51,D$1,FALSE)</f>
        <v>KSVH Berlin</v>
      </c>
      <c r="E30" t="str">
        <f>VLOOKUP($C30,'3.Spieltag'!$AD$40:$AK$51,E$1,FALSE)</f>
        <v>B</v>
      </c>
      <c r="F30">
        <f>VLOOKUP($C30,'3.Spieltag'!$AD$40:$AK$51,F$1,FALSE)</f>
        <v>3</v>
      </c>
      <c r="G30">
        <f>VLOOKUP($C30,'3.Spieltag'!$AD$40:$AK$51,G$1,FALSE)</f>
        <v>2</v>
      </c>
      <c r="H30">
        <f>VLOOKUP($C30,'3.Spieltag'!$AD$40:$AK$51,H$1,FALSE)</f>
        <v>0</v>
      </c>
      <c r="I30">
        <f>VLOOKUP($C30,'3.Spieltag'!$AD$40:$AK$51,I$1,FALSE)</f>
        <v>24</v>
      </c>
      <c r="J30">
        <f>VLOOKUP($C30,'3.Spieltag'!$AD$40:$AK$51,J$1,FALSE)</f>
        <v>9</v>
      </c>
      <c r="N30" s="1">
        <f t="shared" si="31"/>
        <v>3</v>
      </c>
      <c r="O30" s="1" t="str">
        <f t="shared" si="32"/>
        <v>RSV Hannover</v>
      </c>
      <c r="P30" s="1" t="str">
        <f>Saisondaten!$C$17</f>
        <v>B</v>
      </c>
      <c r="Q30" s="1">
        <f t="shared" si="33"/>
        <v>4</v>
      </c>
      <c r="R30" s="1">
        <f t="shared" si="30"/>
        <v>1</v>
      </c>
      <c r="S30" s="1">
        <f t="shared" si="30"/>
        <v>0</v>
      </c>
      <c r="T30" s="1">
        <f t="shared" si="30"/>
        <v>16</v>
      </c>
      <c r="U30" s="1">
        <f t="shared" si="30"/>
        <v>9</v>
      </c>
      <c r="V30" s="1">
        <f t="shared" si="34"/>
        <v>13</v>
      </c>
      <c r="W30" s="1">
        <f t="shared" si="35"/>
        <v>1306346635</v>
      </c>
      <c r="X30" s="1">
        <f t="shared" si="36"/>
        <v>3</v>
      </c>
      <c r="Y30" s="1">
        <f>IF(COUNTIF(X$22:X30,X30)&gt;1,1,0)</f>
        <v>0</v>
      </c>
      <c r="Z30" s="1">
        <f t="shared" si="37"/>
        <v>1306346635</v>
      </c>
      <c r="AA30" s="1">
        <f t="shared" si="38"/>
        <v>3</v>
      </c>
      <c r="AB30" s="1">
        <f>IF(COUNTIF(AA$22:AA30,AA30)&gt;1,1,0)</f>
        <v>0</v>
      </c>
      <c r="AC30" s="1">
        <f t="shared" si="39"/>
        <v>1306346635</v>
      </c>
      <c r="AD30" s="1">
        <f t="shared" si="40"/>
        <v>3</v>
      </c>
      <c r="AE30" s="1">
        <f>IF(COUNTIF(AD$22:AD30,AD30)&gt;1,1,0)</f>
        <v>0</v>
      </c>
      <c r="AF30" s="1">
        <f t="shared" si="41"/>
        <v>1306346635</v>
      </c>
      <c r="AG30" s="1">
        <f t="shared" si="42"/>
        <v>3</v>
      </c>
      <c r="AH30" s="1">
        <f>IF(COUNTIF(AG$22:AG30,AG30)&gt;1,1,0)</f>
        <v>0</v>
      </c>
      <c r="AI30" s="1">
        <f t="shared" si="43"/>
        <v>1306346635</v>
      </c>
      <c r="AJ30" s="1">
        <f t="shared" si="44"/>
        <v>3</v>
      </c>
      <c r="AK30" s="1">
        <f>IF(COUNTIF(AJ$22:AJ30,AJ30)&gt;1,1,0)</f>
        <v>0</v>
      </c>
      <c r="AL30" s="1">
        <f t="shared" si="45"/>
        <v>1306346635</v>
      </c>
      <c r="AM30" s="1">
        <f t="shared" si="46"/>
        <v>3</v>
      </c>
      <c r="AN30" s="1">
        <f>IF(COUNTIF(AM$22:AM30,AM30)&gt;1,1,0)</f>
        <v>0</v>
      </c>
      <c r="AO30" s="1">
        <f t="shared" si="47"/>
        <v>1306346635</v>
      </c>
      <c r="AP30" s="1">
        <f t="shared" si="48"/>
        <v>3</v>
      </c>
      <c r="AQ30" s="1">
        <f>IF(COUNTIF(AP$22:AP30,AP30)&gt;1,1,0)</f>
        <v>0</v>
      </c>
      <c r="AR30" s="1">
        <f t="shared" si="49"/>
        <v>1306346635</v>
      </c>
      <c r="AS30" s="1">
        <f t="shared" si="50"/>
        <v>3</v>
      </c>
      <c r="AT30" s="1">
        <f>IF(COUNTIF(AS$22:AS30,AS30)&gt;1,1,0)</f>
        <v>0</v>
      </c>
      <c r="AU30" s="1">
        <f t="shared" si="51"/>
        <v>1306346635</v>
      </c>
      <c r="AV30" s="1">
        <f t="shared" si="52"/>
        <v>3</v>
      </c>
      <c r="AW30" s="1">
        <f>IF(COUNTIF(AV$22:AV30,AV30)&gt;1,1,0)</f>
        <v>0</v>
      </c>
      <c r="AX30" s="1">
        <f t="shared" si="53"/>
        <v>1306346635</v>
      </c>
      <c r="AY30" s="1">
        <f t="shared" si="54"/>
        <v>3</v>
      </c>
      <c r="AZ30" s="1">
        <f>IF(COUNTIF(AY$22:AY30,AY30)&gt;1,1,0)</f>
        <v>0</v>
      </c>
      <c r="BA30" s="1">
        <f t="shared" si="55"/>
        <v>1306346635</v>
      </c>
      <c r="BB30" s="1">
        <f t="shared" si="56"/>
        <v>3</v>
      </c>
      <c r="BC30" s="1">
        <f>IF(COUNTIF(BB$22:BB30,BB30)&gt;1,1,0)</f>
        <v>0</v>
      </c>
      <c r="BD30" s="1">
        <f t="shared" si="57"/>
        <v>1306346635</v>
      </c>
      <c r="BE30" s="1">
        <f t="shared" si="58"/>
        <v>3</v>
      </c>
    </row>
    <row r="31" spans="1:57" ht="16.5">
      <c r="A31" t="s">
        <v>3</v>
      </c>
      <c r="B31">
        <v>29</v>
      </c>
      <c r="C31">
        <v>5</v>
      </c>
      <c r="D31" t="str">
        <f>VLOOKUP($C31,'3.Spieltag'!$AD$40:$AK$51,D$1,FALSE)</f>
        <v>ACC Hamburg</v>
      </c>
      <c r="E31" t="str">
        <f>VLOOKUP($C31,'3.Spieltag'!$AD$40:$AK$51,E$1,FALSE)</f>
        <v>B</v>
      </c>
      <c r="F31">
        <f>VLOOKUP($C31,'3.Spieltag'!$AD$40:$AK$51,F$1,FALSE)</f>
        <v>3</v>
      </c>
      <c r="G31">
        <f>VLOOKUP($C31,'3.Spieltag'!$AD$40:$AK$51,G$1,FALSE)</f>
        <v>1</v>
      </c>
      <c r="H31">
        <f>VLOOKUP($C31,'3.Spieltag'!$AD$40:$AK$51,H$1,FALSE)</f>
        <v>1</v>
      </c>
      <c r="I31">
        <f>VLOOKUP($C31,'3.Spieltag'!$AD$40:$AK$51,I$1,FALSE)</f>
        <v>21</v>
      </c>
      <c r="J31">
        <f>VLOOKUP($C31,'3.Spieltag'!$AD$40:$AK$51,J$1,FALSE)</f>
        <v>10</v>
      </c>
      <c r="N31" s="1">
        <f t="shared" si="31"/>
        <v>9</v>
      </c>
      <c r="O31" s="1" t="str">
        <f t="shared" si="32"/>
        <v>VK Berlin</v>
      </c>
      <c r="P31" s="1" t="str">
        <f>Saisondaten!$C$17</f>
        <v>B</v>
      </c>
      <c r="Q31" s="1">
        <f t="shared" si="33"/>
        <v>1</v>
      </c>
      <c r="R31" s="1">
        <f t="shared" si="30"/>
        <v>0</v>
      </c>
      <c r="S31" s="1">
        <f t="shared" si="30"/>
        <v>4</v>
      </c>
      <c r="T31" s="1">
        <f t="shared" si="30"/>
        <v>10</v>
      </c>
      <c r="U31" s="1">
        <f t="shared" si="30"/>
        <v>18</v>
      </c>
      <c r="V31" s="1">
        <f t="shared" si="34"/>
        <v>3</v>
      </c>
      <c r="W31" s="1">
        <f t="shared" si="35"/>
        <v>292966663</v>
      </c>
      <c r="X31" s="1">
        <f t="shared" si="36"/>
        <v>9</v>
      </c>
      <c r="Y31" s="1">
        <f>IF(COUNTIF(X$22:X31,X31)&gt;1,1,0)</f>
        <v>0</v>
      </c>
      <c r="Z31" s="1">
        <f t="shared" si="37"/>
        <v>292966663</v>
      </c>
      <c r="AA31" s="1">
        <f t="shared" si="38"/>
        <v>9</v>
      </c>
      <c r="AB31" s="1">
        <f>IF(COUNTIF(AA$22:AA31,AA31)&gt;1,1,0)</f>
        <v>0</v>
      </c>
      <c r="AC31" s="1">
        <f t="shared" si="39"/>
        <v>292966663</v>
      </c>
      <c r="AD31" s="1">
        <f t="shared" si="40"/>
        <v>9</v>
      </c>
      <c r="AE31" s="1">
        <f>IF(COUNTIF(AD$22:AD31,AD31)&gt;1,1,0)</f>
        <v>0</v>
      </c>
      <c r="AF31" s="1">
        <f t="shared" si="41"/>
        <v>292966663</v>
      </c>
      <c r="AG31" s="1">
        <f t="shared" si="42"/>
        <v>9</v>
      </c>
      <c r="AH31" s="1">
        <f>IF(COUNTIF(AG$22:AG31,AG31)&gt;1,1,0)</f>
        <v>0</v>
      </c>
      <c r="AI31" s="1">
        <f t="shared" si="43"/>
        <v>292966663</v>
      </c>
      <c r="AJ31" s="1">
        <f t="shared" si="44"/>
        <v>9</v>
      </c>
      <c r="AK31" s="1">
        <f>IF(COUNTIF(AJ$22:AJ31,AJ31)&gt;1,1,0)</f>
        <v>0</v>
      </c>
      <c r="AL31" s="1">
        <f t="shared" si="45"/>
        <v>292966663</v>
      </c>
      <c r="AM31" s="1">
        <f t="shared" si="46"/>
        <v>9</v>
      </c>
      <c r="AN31" s="1">
        <f>IF(COUNTIF(AM$22:AM31,AM31)&gt;1,1,0)</f>
        <v>0</v>
      </c>
      <c r="AO31" s="1">
        <f t="shared" si="47"/>
        <v>292966663</v>
      </c>
      <c r="AP31" s="1">
        <f t="shared" si="48"/>
        <v>9</v>
      </c>
      <c r="AQ31" s="1">
        <f>IF(COUNTIF(AP$22:AP31,AP31)&gt;1,1,0)</f>
        <v>0</v>
      </c>
      <c r="AR31" s="1">
        <f t="shared" si="49"/>
        <v>292966663</v>
      </c>
      <c r="AS31" s="1">
        <f t="shared" si="50"/>
        <v>9</v>
      </c>
      <c r="AT31" s="1">
        <f>IF(COUNTIF(AS$22:AS31,AS31)&gt;1,1,0)</f>
        <v>0</v>
      </c>
      <c r="AU31" s="1">
        <f t="shared" si="51"/>
        <v>292966663</v>
      </c>
      <c r="AV31" s="1">
        <f t="shared" si="52"/>
        <v>9</v>
      </c>
      <c r="AW31" s="1">
        <f>IF(COUNTIF(AV$22:AV31,AV31)&gt;1,1,0)</f>
        <v>0</v>
      </c>
      <c r="AX31" s="1">
        <f t="shared" si="53"/>
        <v>292966663</v>
      </c>
      <c r="AY31" s="1">
        <f t="shared" si="54"/>
        <v>9</v>
      </c>
      <c r="AZ31" s="1">
        <f>IF(COUNTIF(AY$22:AY31,AY31)&gt;1,1,0)</f>
        <v>0</v>
      </c>
      <c r="BA31" s="1">
        <f t="shared" si="55"/>
        <v>292966663</v>
      </c>
      <c r="BB31" s="1">
        <f t="shared" si="56"/>
        <v>9</v>
      </c>
      <c r="BC31" s="1">
        <f>IF(COUNTIF(BB$22:BB31,BB31)&gt;1,1,0)</f>
        <v>0</v>
      </c>
      <c r="BD31" s="1">
        <f t="shared" si="57"/>
        <v>292966663</v>
      </c>
      <c r="BE31" s="1">
        <f t="shared" si="58"/>
        <v>9</v>
      </c>
    </row>
    <row r="32" spans="1:57" ht="16.5">
      <c r="A32" t="s">
        <v>3</v>
      </c>
      <c r="B32">
        <v>30</v>
      </c>
      <c r="C32">
        <v>6</v>
      </c>
      <c r="D32" t="str">
        <f>VLOOKUP($C32,'3.Spieltag'!$AD$40:$AK$51,D$1,FALSE)</f>
        <v>1. MKC Duisburg</v>
      </c>
      <c r="E32" t="str">
        <f>VLOOKUP($C32,'3.Spieltag'!$AD$40:$AK$51,E$1,FALSE)</f>
        <v>A</v>
      </c>
      <c r="F32">
        <f>VLOOKUP($C32,'3.Spieltag'!$AD$40:$AK$51,F$1,FALSE)</f>
        <v>2</v>
      </c>
      <c r="G32">
        <f>VLOOKUP($C32,'3.Spieltag'!$AD$40:$AK$51,G$1,FALSE)</f>
        <v>1</v>
      </c>
      <c r="H32">
        <f>VLOOKUP($C32,'3.Spieltag'!$AD$40:$AK$51,H$1,FALSE)</f>
        <v>2</v>
      </c>
      <c r="I32">
        <f>VLOOKUP($C32,'3.Spieltag'!$AD$40:$AK$51,I$1,FALSE)</f>
        <v>14</v>
      </c>
      <c r="J32">
        <f>VLOOKUP($C32,'3.Spieltag'!$AD$40:$AK$51,J$1,FALSE)</f>
        <v>10</v>
      </c>
      <c r="N32" s="1">
        <f t="shared" si="31"/>
        <v>12</v>
      </c>
      <c r="O32" s="1" t="str">
        <f t="shared" si="32"/>
        <v>KSV Glauchau</v>
      </c>
      <c r="P32" s="1" t="str">
        <f>Saisondaten!$C$17</f>
        <v>B</v>
      </c>
      <c r="Q32" s="1">
        <f t="shared" si="33"/>
        <v>0</v>
      </c>
      <c r="R32" s="1">
        <f t="shared" si="30"/>
        <v>0</v>
      </c>
      <c r="S32" s="1">
        <f t="shared" si="30"/>
        <v>5</v>
      </c>
      <c r="T32" s="1">
        <f t="shared" si="30"/>
        <v>8</v>
      </c>
      <c r="U32" s="1">
        <f t="shared" si="30"/>
        <v>33</v>
      </c>
      <c r="V32" s="1">
        <f t="shared" si="34"/>
        <v>0</v>
      </c>
      <c r="W32" s="1">
        <f t="shared" si="35"/>
        <v>-22159984</v>
      </c>
      <c r="X32" s="1">
        <f t="shared" si="36"/>
        <v>12</v>
      </c>
      <c r="Y32" s="1">
        <f>IF(COUNTIF(X$22:X32,X32)&gt;1,1,0)</f>
        <v>0</v>
      </c>
      <c r="Z32" s="1">
        <f t="shared" si="37"/>
        <v>-22159984</v>
      </c>
      <c r="AA32" s="1">
        <f t="shared" si="38"/>
        <v>12</v>
      </c>
      <c r="AB32" s="1">
        <f>IF(COUNTIF(AA$22:AA32,AA32)&gt;1,1,0)</f>
        <v>0</v>
      </c>
      <c r="AC32" s="1">
        <f t="shared" si="39"/>
        <v>-22159984</v>
      </c>
      <c r="AD32" s="1">
        <f t="shared" si="40"/>
        <v>12</v>
      </c>
      <c r="AE32" s="1">
        <f>IF(COUNTIF(AD$22:AD32,AD32)&gt;1,1,0)</f>
        <v>0</v>
      </c>
      <c r="AF32" s="1">
        <f t="shared" si="41"/>
        <v>-22159984</v>
      </c>
      <c r="AG32" s="1">
        <f t="shared" si="42"/>
        <v>12</v>
      </c>
      <c r="AH32" s="1">
        <f>IF(COUNTIF(AG$22:AG32,AG32)&gt;1,1,0)</f>
        <v>0</v>
      </c>
      <c r="AI32" s="1">
        <f t="shared" si="43"/>
        <v>-22159984</v>
      </c>
      <c r="AJ32" s="1">
        <f t="shared" si="44"/>
        <v>12</v>
      </c>
      <c r="AK32" s="1">
        <f>IF(COUNTIF(AJ$22:AJ32,AJ32)&gt;1,1,0)</f>
        <v>0</v>
      </c>
      <c r="AL32" s="1">
        <f t="shared" si="45"/>
        <v>-22159984</v>
      </c>
      <c r="AM32" s="1">
        <f t="shared" si="46"/>
        <v>12</v>
      </c>
      <c r="AN32" s="1">
        <f>IF(COUNTIF(AM$22:AM32,AM32)&gt;1,1,0)</f>
        <v>0</v>
      </c>
      <c r="AO32" s="1">
        <f t="shared" si="47"/>
        <v>-22159984</v>
      </c>
      <c r="AP32" s="1">
        <f t="shared" si="48"/>
        <v>12</v>
      </c>
      <c r="AQ32" s="1">
        <f>IF(COUNTIF(AP$22:AP32,AP32)&gt;1,1,0)</f>
        <v>0</v>
      </c>
      <c r="AR32" s="1">
        <f t="shared" si="49"/>
        <v>-22159984</v>
      </c>
      <c r="AS32" s="1">
        <f t="shared" si="50"/>
        <v>12</v>
      </c>
      <c r="AT32" s="1">
        <f>IF(COUNTIF(AS$22:AS32,AS32)&gt;1,1,0)</f>
        <v>0</v>
      </c>
      <c r="AU32" s="1">
        <f t="shared" si="51"/>
        <v>-22159984</v>
      </c>
      <c r="AV32" s="1">
        <f t="shared" si="52"/>
        <v>12</v>
      </c>
      <c r="AW32" s="1">
        <f>IF(COUNTIF(AV$22:AV32,AV32)&gt;1,1,0)</f>
        <v>0</v>
      </c>
      <c r="AX32" s="1">
        <f t="shared" si="53"/>
        <v>-22159984</v>
      </c>
      <c r="AY32" s="1">
        <f t="shared" si="54"/>
        <v>12</v>
      </c>
      <c r="AZ32" s="1">
        <f>IF(COUNTIF(AY$22:AY32,AY32)&gt;1,1,0)</f>
        <v>0</v>
      </c>
      <c r="BA32" s="1">
        <f t="shared" si="55"/>
        <v>-22159984</v>
      </c>
      <c r="BB32" s="1">
        <f t="shared" si="56"/>
        <v>12</v>
      </c>
      <c r="BC32" s="1">
        <f>IF(COUNTIF(BB$22:BB32,BB32)&gt;1,1,0)</f>
        <v>0</v>
      </c>
      <c r="BD32" s="1">
        <f t="shared" si="57"/>
        <v>-22159984</v>
      </c>
      <c r="BE32" s="1">
        <f t="shared" si="58"/>
        <v>12</v>
      </c>
    </row>
    <row r="33" spans="1:57" ht="16.5">
      <c r="A33" t="s">
        <v>3</v>
      </c>
      <c r="B33">
        <v>31</v>
      </c>
      <c r="C33">
        <v>7</v>
      </c>
      <c r="D33" t="str">
        <f>VLOOKUP($C33,'3.Spieltag'!$AD$40:$AK$51,D$1,FALSE)</f>
        <v>KCNW Berlin</v>
      </c>
      <c r="E33" t="str">
        <f>VLOOKUP($C33,'3.Spieltag'!$AD$40:$AK$51,E$1,FALSE)</f>
        <v>B</v>
      </c>
      <c r="F33">
        <f>VLOOKUP($C33,'3.Spieltag'!$AD$40:$AK$51,F$1,FALSE)</f>
        <v>2</v>
      </c>
      <c r="G33">
        <f>VLOOKUP($C33,'3.Spieltag'!$AD$40:$AK$51,G$1,FALSE)</f>
        <v>0</v>
      </c>
      <c r="H33">
        <f>VLOOKUP($C33,'3.Spieltag'!$AD$40:$AK$51,H$1,FALSE)</f>
        <v>3</v>
      </c>
      <c r="I33">
        <f>VLOOKUP($C33,'3.Spieltag'!$AD$40:$AK$51,I$1,FALSE)</f>
        <v>17</v>
      </c>
      <c r="J33">
        <f>VLOOKUP($C33,'3.Spieltag'!$AD$40:$AK$51,J$1,FALSE)</f>
        <v>17</v>
      </c>
      <c r="N33" s="1">
        <f t="shared" si="31"/>
        <v>4</v>
      </c>
      <c r="O33" s="1" t="str">
        <f t="shared" si="32"/>
        <v>KSVH Berlin</v>
      </c>
      <c r="P33" s="1" t="str">
        <f>Saisondaten!$C$17</f>
        <v>B</v>
      </c>
      <c r="Q33" s="1">
        <f t="shared" si="33"/>
        <v>3</v>
      </c>
      <c r="R33" s="1">
        <f t="shared" si="30"/>
        <v>2</v>
      </c>
      <c r="S33" s="1">
        <f t="shared" si="30"/>
        <v>0</v>
      </c>
      <c r="T33" s="1">
        <f t="shared" si="30"/>
        <v>24</v>
      </c>
      <c r="U33" s="1">
        <f t="shared" si="30"/>
        <v>9</v>
      </c>
      <c r="V33" s="1">
        <f t="shared" si="34"/>
        <v>11</v>
      </c>
      <c r="W33" s="1">
        <f t="shared" si="35"/>
        <v>1113519957</v>
      </c>
      <c r="X33" s="1">
        <f t="shared" si="36"/>
        <v>4</v>
      </c>
      <c r="Y33" s="1">
        <f>IF(COUNTIF(X$22:X33,X33)&gt;1,1,0)</f>
        <v>0</v>
      </c>
      <c r="Z33" s="1">
        <f t="shared" si="37"/>
        <v>1113519957</v>
      </c>
      <c r="AA33" s="1">
        <f t="shared" si="38"/>
        <v>4</v>
      </c>
      <c r="AB33" s="1">
        <f>IF(COUNTIF(AA$22:AA33,AA33)&gt;1,1,0)</f>
        <v>0</v>
      </c>
      <c r="AC33" s="1">
        <f t="shared" si="39"/>
        <v>1113519957</v>
      </c>
      <c r="AD33" s="1">
        <f t="shared" si="40"/>
        <v>4</v>
      </c>
      <c r="AE33" s="1">
        <f>IF(COUNTIF(AD$22:AD33,AD33)&gt;1,1,0)</f>
        <v>0</v>
      </c>
      <c r="AF33" s="1">
        <f t="shared" si="41"/>
        <v>1113519957</v>
      </c>
      <c r="AG33" s="1">
        <f t="shared" si="42"/>
        <v>4</v>
      </c>
      <c r="AH33" s="1">
        <f>IF(COUNTIF(AG$22:AG33,AG33)&gt;1,1,0)</f>
        <v>0</v>
      </c>
      <c r="AI33" s="1">
        <f t="shared" si="43"/>
        <v>1113519957</v>
      </c>
      <c r="AJ33" s="1">
        <f t="shared" si="44"/>
        <v>4</v>
      </c>
      <c r="AK33" s="1">
        <f>IF(COUNTIF(AJ$22:AJ33,AJ33)&gt;1,1,0)</f>
        <v>0</v>
      </c>
      <c r="AL33" s="1">
        <f t="shared" si="45"/>
        <v>1113519957</v>
      </c>
      <c r="AM33" s="1">
        <f t="shared" si="46"/>
        <v>4</v>
      </c>
      <c r="AN33" s="1">
        <f>IF(COUNTIF(AM$22:AM33,AM33)&gt;1,1,0)</f>
        <v>0</v>
      </c>
      <c r="AO33" s="1">
        <f t="shared" si="47"/>
        <v>1113519957</v>
      </c>
      <c r="AP33" s="1">
        <f t="shared" si="48"/>
        <v>4</v>
      </c>
      <c r="AQ33" s="1">
        <f>IF(COUNTIF(AP$22:AP33,AP33)&gt;1,1,0)</f>
        <v>0</v>
      </c>
      <c r="AR33" s="1">
        <f t="shared" si="49"/>
        <v>1113519957</v>
      </c>
      <c r="AS33" s="1">
        <f t="shared" si="50"/>
        <v>4</v>
      </c>
      <c r="AT33" s="1">
        <f>IF(COUNTIF(AS$22:AS33,AS33)&gt;1,1,0)</f>
        <v>0</v>
      </c>
      <c r="AU33" s="1">
        <f t="shared" si="51"/>
        <v>1113519957</v>
      </c>
      <c r="AV33" s="1">
        <f t="shared" si="52"/>
        <v>4</v>
      </c>
      <c r="AW33" s="1">
        <f>IF(COUNTIF(AV$22:AV33,AV33)&gt;1,1,0)</f>
        <v>0</v>
      </c>
      <c r="AX33" s="1">
        <f t="shared" si="53"/>
        <v>1113519957</v>
      </c>
      <c r="AY33" s="1">
        <f t="shared" si="54"/>
        <v>4</v>
      </c>
      <c r="AZ33" s="1">
        <f>IF(COUNTIF(AY$22:AY33,AY33)&gt;1,1,0)</f>
        <v>0</v>
      </c>
      <c r="BA33" s="1">
        <f t="shared" si="55"/>
        <v>1113519957</v>
      </c>
      <c r="BB33" s="1">
        <f t="shared" si="56"/>
        <v>4</v>
      </c>
      <c r="BC33" s="1">
        <f>IF(COUNTIF(BB$22:BB33,BB33)&gt;1,1,0)</f>
        <v>0</v>
      </c>
      <c r="BD33" s="1">
        <f t="shared" si="57"/>
        <v>1113519957</v>
      </c>
      <c r="BE33" s="1">
        <f t="shared" si="58"/>
        <v>4</v>
      </c>
    </row>
    <row r="34" spans="1:10" ht="15">
      <c r="A34" t="s">
        <v>3</v>
      </c>
      <c r="B34">
        <v>32</v>
      </c>
      <c r="C34">
        <v>8</v>
      </c>
      <c r="D34" t="str">
        <f>VLOOKUP($C34,'3.Spieltag'!$AD$40:$AK$51,D$1,FALSE)</f>
        <v>KC Wetter</v>
      </c>
      <c r="E34" t="str">
        <f>VLOOKUP($C34,'3.Spieltag'!$AD$40:$AK$51,E$1,FALSE)</f>
        <v>A</v>
      </c>
      <c r="F34">
        <f>VLOOKUP($C34,'3.Spieltag'!$AD$40:$AK$51,F$1,FALSE)</f>
        <v>1</v>
      </c>
      <c r="G34">
        <f>VLOOKUP($C34,'3.Spieltag'!$AD$40:$AK$51,G$1,FALSE)</f>
        <v>2</v>
      </c>
      <c r="H34">
        <f>VLOOKUP($C34,'3.Spieltag'!$AD$40:$AK$51,H$1,FALSE)</f>
        <v>2</v>
      </c>
      <c r="I34">
        <f>VLOOKUP($C34,'3.Spieltag'!$AD$40:$AK$51,I$1,FALSE)</f>
        <v>15</v>
      </c>
      <c r="J34">
        <f>VLOOKUP($C34,'3.Spieltag'!$AD$40:$AK$51,J$1,FALSE)</f>
        <v>22</v>
      </c>
    </row>
    <row r="35" spans="1:10" ht="15">
      <c r="A35" t="s">
        <v>3</v>
      </c>
      <c r="B35">
        <v>33</v>
      </c>
      <c r="C35">
        <v>9</v>
      </c>
      <c r="D35" t="str">
        <f>VLOOKUP($C35,'3.Spieltag'!$AD$40:$AK$51,D$1,FALSE)</f>
        <v>VK Berlin</v>
      </c>
      <c r="E35" t="str">
        <f>VLOOKUP($C35,'3.Spieltag'!$AD$40:$AK$51,E$1,FALSE)</f>
        <v>B</v>
      </c>
      <c r="F35">
        <f>VLOOKUP($C35,'3.Spieltag'!$AD$40:$AK$51,F$1,FALSE)</f>
        <v>1</v>
      </c>
      <c r="G35">
        <f>VLOOKUP($C35,'3.Spieltag'!$AD$40:$AK$51,G$1,FALSE)</f>
        <v>0</v>
      </c>
      <c r="H35">
        <f>VLOOKUP($C35,'3.Spieltag'!$AD$40:$AK$51,H$1,FALSE)</f>
        <v>4</v>
      </c>
      <c r="I35">
        <f>VLOOKUP($C35,'3.Spieltag'!$AD$40:$AK$51,I$1,FALSE)</f>
        <v>10</v>
      </c>
      <c r="J35">
        <f>VLOOKUP($C35,'3.Spieltag'!$AD$40:$AK$51,J$1,FALSE)</f>
        <v>18</v>
      </c>
    </row>
    <row r="36" spans="1:14" ht="15">
      <c r="A36" t="s">
        <v>3</v>
      </c>
      <c r="B36">
        <v>34</v>
      </c>
      <c r="C36">
        <v>10</v>
      </c>
      <c r="D36" t="str">
        <f>VLOOKUP($C36,'3.Spieltag'!$AD$40:$AK$51,D$1,FALSE)</f>
        <v>KGW Essen</v>
      </c>
      <c r="E36" t="str">
        <f>VLOOKUP($C36,'3.Spieltag'!$AD$40:$AK$51,E$1,FALSE)</f>
        <v>A</v>
      </c>
      <c r="F36">
        <f>VLOOKUP($C36,'3.Spieltag'!$AD$40:$AK$51,F$1,FALSE)</f>
        <v>0</v>
      </c>
      <c r="G36">
        <f>VLOOKUP($C36,'3.Spieltag'!$AD$40:$AK$51,G$1,FALSE)</f>
        <v>2</v>
      </c>
      <c r="H36">
        <f>VLOOKUP($C36,'3.Spieltag'!$AD$40:$AK$51,H$1,FALSE)</f>
        <v>3</v>
      </c>
      <c r="I36">
        <f>VLOOKUP($C36,'3.Spieltag'!$AD$40:$AK$51,I$1,FALSE)</f>
        <v>13</v>
      </c>
      <c r="J36">
        <f>VLOOKUP($C36,'3.Spieltag'!$AD$40:$AK$51,J$1,FALSE)</f>
        <v>20</v>
      </c>
      <c r="N36" t="s">
        <v>72</v>
      </c>
    </row>
    <row r="37" spans="1:57" ht="16.5">
      <c r="A37" t="s">
        <v>3</v>
      </c>
      <c r="B37">
        <v>35</v>
      </c>
      <c r="C37">
        <v>11</v>
      </c>
      <c r="D37" t="str">
        <f>VLOOKUP($C37,'3.Spieltag'!$AD$40:$AK$51,D$1,FALSE)</f>
        <v>Göttinger PC</v>
      </c>
      <c r="E37" t="str">
        <f>VLOOKUP($C37,'3.Spieltag'!$AD$40:$AK$51,E$1,FALSE)</f>
        <v>A</v>
      </c>
      <c r="F37">
        <f>VLOOKUP($C37,'3.Spieltag'!$AD$40:$AK$51,F$1,FALSE)</f>
        <v>0</v>
      </c>
      <c r="G37">
        <f>VLOOKUP($C37,'3.Spieltag'!$AD$40:$AK$51,G$1,FALSE)</f>
        <v>1</v>
      </c>
      <c r="H37">
        <f>VLOOKUP($C37,'3.Spieltag'!$AD$40:$AK$51,H$1,FALSE)</f>
        <v>4</v>
      </c>
      <c r="I37">
        <f>VLOOKUP($C37,'3.Spieltag'!$AD$40:$AK$51,I$1,FALSE)</f>
        <v>8</v>
      </c>
      <c r="J37">
        <f>VLOOKUP($C37,'3.Spieltag'!$AD$40:$AK$51,J$1,FALSE)</f>
        <v>25</v>
      </c>
      <c r="N37" s="1" t="s">
        <v>70</v>
      </c>
      <c r="O37" s="63" t="s">
        <v>45</v>
      </c>
      <c r="P37" s="1" t="s">
        <v>8</v>
      </c>
      <c r="Q37" s="1" t="s">
        <v>54</v>
      </c>
      <c r="R37" s="1" t="s">
        <v>47</v>
      </c>
      <c r="S37" s="1" t="s">
        <v>53</v>
      </c>
      <c r="T37" s="1" t="s">
        <v>50</v>
      </c>
      <c r="U37" s="1" t="s">
        <v>23</v>
      </c>
      <c r="V37" s="1" t="s">
        <v>69</v>
      </c>
      <c r="W37" s="349" t="s">
        <v>71</v>
      </c>
      <c r="X37" s="349"/>
      <c r="Y37" s="349"/>
      <c r="Z37" s="34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8" ht="16.5">
      <c r="A38" t="s">
        <v>3</v>
      </c>
      <c r="B38">
        <v>36</v>
      </c>
      <c r="C38">
        <v>12</v>
      </c>
      <c r="D38" t="str">
        <f>VLOOKUP($C38,'3.Spieltag'!$AD$40:$AK$51,D$1,FALSE)</f>
        <v>KSV Glauchau</v>
      </c>
      <c r="E38" t="str">
        <f>VLOOKUP($C38,'3.Spieltag'!$AD$40:$AK$51,E$1,FALSE)</f>
        <v>B</v>
      </c>
      <c r="F38">
        <f>VLOOKUP($C38,'3.Spieltag'!$AD$40:$AK$51,F$1,FALSE)</f>
        <v>0</v>
      </c>
      <c r="G38">
        <f>VLOOKUP($C38,'3.Spieltag'!$AD$40:$AK$51,G$1,FALSE)</f>
        <v>0</v>
      </c>
      <c r="H38">
        <f>VLOOKUP($C38,'3.Spieltag'!$AD$40:$AK$51,H$1,FALSE)</f>
        <v>5</v>
      </c>
      <c r="I38">
        <f>VLOOKUP($C38,'3.Spieltag'!$AD$40:$AK$51,I$1,FALSE)</f>
        <v>8</v>
      </c>
      <c r="J38">
        <f>VLOOKUP($C38,'3.Spieltag'!$AD$40:$AK$51,J$1,FALSE)</f>
        <v>33</v>
      </c>
      <c r="N38" s="1">
        <f>RANK(BD38,$BD$38:$BD$49,0)</f>
        <v>1</v>
      </c>
      <c r="O38" s="1" t="str">
        <f>O22</f>
        <v>KRM Essen</v>
      </c>
      <c r="P38" s="1" t="str">
        <f>Saisondaten!$B$17</f>
        <v>A</v>
      </c>
      <c r="Q38" s="1">
        <f>VLOOKUP($O38,$O$6:$U$17,Q$4,FALSE)+VLOOKUP($O38,$O$22:$U$33,Q$4,FALSE)</f>
        <v>13</v>
      </c>
      <c r="R38" s="1">
        <f>VLOOKUP($O38,$O$6:$U$17,R$4,FALSE)+VLOOKUP($O38,$O$22:$U$33,R$4,FALSE)</f>
        <v>2</v>
      </c>
      <c r="S38" s="1">
        <f>VLOOKUP($O38,$O$6:$U$17,S$4,FALSE)+VLOOKUP($O38,$O$22:$U$33,S$4,FALSE)</f>
        <v>1</v>
      </c>
      <c r="T38" s="1">
        <f>VLOOKUP($O38,$O$6:$U$17,T$4,FALSE)+VLOOKUP($O38,$O$22:$U$33,T$4,FALSE)</f>
        <v>86</v>
      </c>
      <c r="U38" s="1">
        <f>VLOOKUP($O38,$O$6:$U$17,U$4,FALSE)+VLOOKUP($O38,$O$22:$U$33,U$4,FALSE)</f>
        <v>33</v>
      </c>
      <c r="V38" s="1">
        <f>Q38*3+R38*1</f>
        <v>41</v>
      </c>
      <c r="W38" s="1">
        <f>V38*99999999+(T38-U38)*888888+T38*7777</f>
        <v>4147779845</v>
      </c>
      <c r="X38" s="1">
        <f>RANK(W38,W$38:W$49,0)</f>
        <v>1</v>
      </c>
      <c r="Y38" s="1">
        <f>IF(COUNTIF(X$38:X38,X38)&gt;1,1,0)</f>
        <v>0</v>
      </c>
      <c r="Z38" s="1">
        <f>Y38+W38</f>
        <v>4147779845</v>
      </c>
      <c r="AA38" s="1">
        <f>RANK(Z38,Z$38:Z$49,0)</f>
        <v>1</v>
      </c>
      <c r="AB38" s="1">
        <f>IF(COUNTIF(AA$38:AA38,AA38)&gt;1,1,0)</f>
        <v>0</v>
      </c>
      <c r="AC38" s="1">
        <f>AB38+Z38</f>
        <v>4147779845</v>
      </c>
      <c r="AD38" s="1">
        <f>RANK(AC38,AC$38:AC$49,0)</f>
        <v>1</v>
      </c>
      <c r="AE38" s="1">
        <f>IF(COUNTIF(AD$38:AD38,AD38)&gt;1,1,0)</f>
        <v>0</v>
      </c>
      <c r="AF38" s="1">
        <f>AE38+AC38</f>
        <v>4147779845</v>
      </c>
      <c r="AG38" s="1">
        <f>RANK(AF38,AF$38:AF$49,0)</f>
        <v>1</v>
      </c>
      <c r="AH38" s="1">
        <f>IF(COUNTIF(AG$38:AG38,AG38)&gt;1,1,0)</f>
        <v>0</v>
      </c>
      <c r="AI38" s="1">
        <f>AH38+AF38</f>
        <v>4147779845</v>
      </c>
      <c r="AJ38" s="1">
        <f>RANK(AI38,AI$38:AI$49,0)</f>
        <v>1</v>
      </c>
      <c r="AK38" s="1">
        <f>IF(COUNTIF(AJ$38:AJ38,AJ38)&gt;1,1,0)</f>
        <v>0</v>
      </c>
      <c r="AL38" s="1">
        <f>AK38+AI38</f>
        <v>4147779845</v>
      </c>
      <c r="AM38" s="1">
        <f>RANK(AL38,AL$38:AL$49,0)</f>
        <v>1</v>
      </c>
      <c r="AN38" s="1">
        <f>IF(COUNTIF(AM$38:AM38,AM38)&gt;1,1,0)</f>
        <v>0</v>
      </c>
      <c r="AO38" s="1">
        <f>AN38+AL38</f>
        <v>4147779845</v>
      </c>
      <c r="AP38" s="1">
        <f>RANK(AO38,AO$38:AO$49,0)</f>
        <v>1</v>
      </c>
      <c r="AQ38" s="1">
        <f>IF(COUNTIF(AP$38:AP38,AP38)&gt;1,1,0)</f>
        <v>0</v>
      </c>
      <c r="AR38" s="1">
        <f>AQ38+AO38</f>
        <v>4147779845</v>
      </c>
      <c r="AS38" s="1">
        <f>RANK(AR38,AR$38:AR$49,0)</f>
        <v>1</v>
      </c>
      <c r="AT38" s="1">
        <f>IF(COUNTIF(AS$38:AS38,AS38)&gt;1,1,0)</f>
        <v>0</v>
      </c>
      <c r="AU38" s="1">
        <f>AT38+AR38</f>
        <v>4147779845</v>
      </c>
      <c r="AV38" s="1">
        <f>RANK(AU38,AU$38:AU$49,0)</f>
        <v>1</v>
      </c>
      <c r="AW38" s="1">
        <f>IF(COUNTIF(AV$38:AV38,AV38)&gt;1,1,0)</f>
        <v>0</v>
      </c>
      <c r="AX38" s="1">
        <f>AW38+AU38</f>
        <v>4147779845</v>
      </c>
      <c r="AY38" s="1">
        <f>RANK(AX38,AX$38:AX$49,0)</f>
        <v>1</v>
      </c>
      <c r="AZ38" s="1">
        <f>IF(COUNTIF(AY$38:AY38,AY38)&gt;1,1,0)</f>
        <v>0</v>
      </c>
      <c r="BA38" s="1">
        <f>AZ38+AX38</f>
        <v>4147779845</v>
      </c>
      <c r="BB38" s="1">
        <f>RANK(BA38,BA$38:BA$49,0)</f>
        <v>1</v>
      </c>
      <c r="BC38" s="1">
        <f>IF(COUNTIF(BB$38:BB38,BB38)&gt;1,1,0)</f>
        <v>0</v>
      </c>
      <c r="BD38" s="1">
        <f>BC38+BA38</f>
        <v>4147779845</v>
      </c>
      <c r="BE38" s="1">
        <f>RANK(BD38,BD$38:BD$49,0)</f>
        <v>1</v>
      </c>
      <c r="BF38" s="1"/>
    </row>
    <row r="39" spans="1:58" ht="16.5">
      <c r="A39" t="s">
        <v>4</v>
      </c>
      <c r="B39">
        <v>37</v>
      </c>
      <c r="C39">
        <v>1</v>
      </c>
      <c r="D39" t="str">
        <f>VLOOKUP($C39,'4.Spieltag'!$AD$40:$AK$51,D$1,FALSE)</f>
        <v>KSVH Berlin</v>
      </c>
      <c r="E39" t="str">
        <f>VLOOKUP($C39,'4.Spieltag'!$AD$40:$AK$51,E$1,FALSE)</f>
        <v>B</v>
      </c>
      <c r="F39">
        <f>VLOOKUP($C39,'4.Spieltag'!$AD$40:$AK$51,F$1,FALSE)</f>
        <v>0</v>
      </c>
      <c r="G39">
        <f>VLOOKUP($C39,'4.Spieltag'!$AD$40:$AK$51,G$1,FALSE)</f>
        <v>0</v>
      </c>
      <c r="H39">
        <f>VLOOKUP($C39,'4.Spieltag'!$AD$40:$AK$51,H$1,FALSE)</f>
        <v>0</v>
      </c>
      <c r="I39">
        <f>VLOOKUP($C39,'4.Spieltag'!$AD$40:$AK$51,I$1,FALSE)</f>
        <v>0</v>
      </c>
      <c r="J39">
        <f>VLOOKUP($C39,'4.Spieltag'!$AD$40:$AK$51,J$1,FALSE)</f>
        <v>0</v>
      </c>
      <c r="N39" s="1">
        <f aca="true" t="shared" si="59" ref="N39:N49">RANK(BD39,$BD$38:$BD$49,0)</f>
        <v>2</v>
      </c>
      <c r="O39" s="1" t="str">
        <f aca="true" t="shared" si="60" ref="O39:O49">O23</f>
        <v>WSF Liblar</v>
      </c>
      <c r="P39" s="1" t="str">
        <f>Saisondaten!$B$17</f>
        <v>A</v>
      </c>
      <c r="Q39" s="1">
        <f aca="true" t="shared" si="61" ref="Q39:U49">VLOOKUP($O39,$O$6:$U$17,Q$4,FALSE)+VLOOKUP($O39,$O$22:$U$33,Q$4,FALSE)</f>
        <v>13</v>
      </c>
      <c r="R39" s="1">
        <f t="shared" si="61"/>
        <v>2</v>
      </c>
      <c r="S39" s="1">
        <f t="shared" si="61"/>
        <v>1</v>
      </c>
      <c r="T39" s="1">
        <f t="shared" si="61"/>
        <v>65</v>
      </c>
      <c r="U39" s="1">
        <f t="shared" si="61"/>
        <v>34</v>
      </c>
      <c r="V39" s="1">
        <f aca="true" t="shared" si="62" ref="V39:V49">Q39*3+R39*1</f>
        <v>41</v>
      </c>
      <c r="W39" s="1">
        <f aca="true" t="shared" si="63" ref="W39:W49">V39*99999999+(T39-U39)*888888+T39*7777</f>
        <v>4128060992</v>
      </c>
      <c r="X39" s="1">
        <f aca="true" t="shared" si="64" ref="X39:X49">RANK(W39,W$38:W$49,0)</f>
        <v>2</v>
      </c>
      <c r="Y39" s="1">
        <f>IF(COUNTIF(X$38:X39,X39)&gt;1,1,0)</f>
        <v>0</v>
      </c>
      <c r="Z39" s="1">
        <f aca="true" t="shared" si="65" ref="Z39:Z49">Y39+W39</f>
        <v>4128060992</v>
      </c>
      <c r="AA39" s="1">
        <f aca="true" t="shared" si="66" ref="AA39:AA49">RANK(Z39,Z$38:Z$49,0)</f>
        <v>2</v>
      </c>
      <c r="AB39" s="1">
        <f>IF(COUNTIF(AA$38:AA39,AA39)&gt;1,1,0)</f>
        <v>0</v>
      </c>
      <c r="AC39" s="1">
        <f aca="true" t="shared" si="67" ref="AC39:AC49">AB39+Z39</f>
        <v>4128060992</v>
      </c>
      <c r="AD39" s="1">
        <f aca="true" t="shared" si="68" ref="AD39:AD49">RANK(AC39,AC$38:AC$49,0)</f>
        <v>2</v>
      </c>
      <c r="AE39" s="1">
        <f>IF(COUNTIF(AD$38:AD39,AD39)&gt;1,1,0)</f>
        <v>0</v>
      </c>
      <c r="AF39" s="1">
        <f aca="true" t="shared" si="69" ref="AF39:AF49">AE39+AC39</f>
        <v>4128060992</v>
      </c>
      <c r="AG39" s="1">
        <f aca="true" t="shared" si="70" ref="AG39:AG49">RANK(AF39,AF$38:AF$49,0)</f>
        <v>2</v>
      </c>
      <c r="AH39" s="1">
        <f>IF(COUNTIF(AG$38:AG39,AG39)&gt;1,1,0)</f>
        <v>0</v>
      </c>
      <c r="AI39" s="1">
        <f aca="true" t="shared" si="71" ref="AI39:AI49">AH39+AF39</f>
        <v>4128060992</v>
      </c>
      <c r="AJ39" s="1">
        <f aca="true" t="shared" si="72" ref="AJ39:AJ49">RANK(AI39,AI$38:AI$49,0)</f>
        <v>2</v>
      </c>
      <c r="AK39" s="1">
        <f>IF(COUNTIF(AJ$38:AJ39,AJ39)&gt;1,1,0)</f>
        <v>0</v>
      </c>
      <c r="AL39" s="1">
        <f aca="true" t="shared" si="73" ref="AL39:AL49">AK39+AI39</f>
        <v>4128060992</v>
      </c>
      <c r="AM39" s="1">
        <f aca="true" t="shared" si="74" ref="AM39:AM49">RANK(AL39,AL$38:AL$49,0)</f>
        <v>2</v>
      </c>
      <c r="AN39" s="1">
        <f>IF(COUNTIF(AM$38:AM39,AM39)&gt;1,1,0)</f>
        <v>0</v>
      </c>
      <c r="AO39" s="1">
        <f aca="true" t="shared" si="75" ref="AO39:AO49">AN39+AL39</f>
        <v>4128060992</v>
      </c>
      <c r="AP39" s="1">
        <f aca="true" t="shared" si="76" ref="AP39:AP49">RANK(AO39,AO$38:AO$49,0)</f>
        <v>2</v>
      </c>
      <c r="AQ39" s="1">
        <f>IF(COUNTIF(AP$38:AP39,AP39)&gt;1,1,0)</f>
        <v>0</v>
      </c>
      <c r="AR39" s="1">
        <f aca="true" t="shared" si="77" ref="AR39:AR49">AQ39+AO39</f>
        <v>4128060992</v>
      </c>
      <c r="AS39" s="1">
        <f aca="true" t="shared" si="78" ref="AS39:AS49">RANK(AR39,AR$38:AR$49,0)</f>
        <v>2</v>
      </c>
      <c r="AT39" s="1">
        <f>IF(COUNTIF(AS$38:AS39,AS39)&gt;1,1,0)</f>
        <v>0</v>
      </c>
      <c r="AU39" s="1">
        <f aca="true" t="shared" si="79" ref="AU39:AU49">AT39+AR39</f>
        <v>4128060992</v>
      </c>
      <c r="AV39" s="1">
        <f aca="true" t="shared" si="80" ref="AV39:AV49">RANK(AU39,AU$38:AU$49,0)</f>
        <v>2</v>
      </c>
      <c r="AW39" s="1">
        <f>IF(COUNTIF(AV$38:AV39,AV39)&gt;1,1,0)</f>
        <v>0</v>
      </c>
      <c r="AX39" s="1">
        <f aca="true" t="shared" si="81" ref="AX39:AX49">AW39+AU39</f>
        <v>4128060992</v>
      </c>
      <c r="AY39" s="1">
        <f aca="true" t="shared" si="82" ref="AY39:AY49">RANK(AX39,AX$38:AX$49,0)</f>
        <v>2</v>
      </c>
      <c r="AZ39" s="1">
        <f>IF(COUNTIF(AY$38:AY39,AY39)&gt;1,1,0)</f>
        <v>0</v>
      </c>
      <c r="BA39" s="1">
        <f aca="true" t="shared" si="83" ref="BA39:BA49">AZ39+AX39</f>
        <v>4128060992</v>
      </c>
      <c r="BB39" s="1">
        <f aca="true" t="shared" si="84" ref="BB39:BB49">RANK(BA39,BA$38:BA$49,0)</f>
        <v>2</v>
      </c>
      <c r="BC39" s="1">
        <f>IF(COUNTIF(BB$38:BB39,BB39)&gt;1,1,0)</f>
        <v>0</v>
      </c>
      <c r="BD39" s="1">
        <f aca="true" t="shared" si="85" ref="BD39:BD49">BC39+BA39</f>
        <v>4128060992</v>
      </c>
      <c r="BE39" s="1">
        <f aca="true" t="shared" si="86" ref="BE39:BE49">RANK(BD39,BD$38:BD$49,0)</f>
        <v>2</v>
      </c>
      <c r="BF39" s="1"/>
    </row>
    <row r="40" spans="1:58" ht="16.5">
      <c r="A40" t="s">
        <v>4</v>
      </c>
      <c r="B40">
        <v>38</v>
      </c>
      <c r="C40">
        <v>2</v>
      </c>
      <c r="D40" t="str">
        <f>VLOOKUP($C40,'4.Spieltag'!$AD$40:$AK$51,D$1,FALSE)</f>
        <v>KSV Glauchau</v>
      </c>
      <c r="E40" t="str">
        <f>VLOOKUP($C40,'4.Spieltag'!$AD$40:$AK$51,E$1,FALSE)</f>
        <v>B</v>
      </c>
      <c r="F40">
        <f>VLOOKUP($C40,'4.Spieltag'!$AD$40:$AK$51,F$1,FALSE)</f>
        <v>0</v>
      </c>
      <c r="G40">
        <f>VLOOKUP($C40,'4.Spieltag'!$AD$40:$AK$51,G$1,FALSE)</f>
        <v>0</v>
      </c>
      <c r="H40">
        <f>VLOOKUP($C40,'4.Spieltag'!$AD$40:$AK$51,H$1,FALSE)</f>
        <v>0</v>
      </c>
      <c r="I40">
        <f>VLOOKUP($C40,'4.Spieltag'!$AD$40:$AK$51,I$1,FALSE)</f>
        <v>0</v>
      </c>
      <c r="J40">
        <f>VLOOKUP($C40,'4.Spieltag'!$AD$40:$AK$51,J$1,FALSE)</f>
        <v>0</v>
      </c>
      <c r="N40" s="1">
        <f t="shared" si="59"/>
        <v>6</v>
      </c>
      <c r="O40" s="1" t="str">
        <f t="shared" si="60"/>
        <v>1. MKC Duisburg</v>
      </c>
      <c r="P40" s="1" t="str">
        <f>Saisondaten!$B$17</f>
        <v>A</v>
      </c>
      <c r="Q40" s="1">
        <f t="shared" si="61"/>
        <v>7</v>
      </c>
      <c r="R40" s="1">
        <f t="shared" si="61"/>
        <v>4</v>
      </c>
      <c r="S40" s="1">
        <f t="shared" si="61"/>
        <v>5</v>
      </c>
      <c r="T40" s="1">
        <f t="shared" si="61"/>
        <v>56</v>
      </c>
      <c r="U40" s="1">
        <f t="shared" si="61"/>
        <v>41</v>
      </c>
      <c r="V40" s="1">
        <f t="shared" si="62"/>
        <v>25</v>
      </c>
      <c r="W40" s="1">
        <f t="shared" si="63"/>
        <v>2513768807</v>
      </c>
      <c r="X40" s="1">
        <f t="shared" si="64"/>
        <v>6</v>
      </c>
      <c r="Y40" s="1">
        <f>IF(COUNTIF(X$38:X40,X40)&gt;1,1,0)</f>
        <v>0</v>
      </c>
      <c r="Z40" s="1">
        <f t="shared" si="65"/>
        <v>2513768807</v>
      </c>
      <c r="AA40" s="1">
        <f t="shared" si="66"/>
        <v>6</v>
      </c>
      <c r="AB40" s="1">
        <f>IF(COUNTIF(AA$38:AA40,AA40)&gt;1,1,0)</f>
        <v>0</v>
      </c>
      <c r="AC40" s="1">
        <f t="shared" si="67"/>
        <v>2513768807</v>
      </c>
      <c r="AD40" s="1">
        <f t="shared" si="68"/>
        <v>6</v>
      </c>
      <c r="AE40" s="1">
        <f>IF(COUNTIF(AD$38:AD40,AD40)&gt;1,1,0)</f>
        <v>0</v>
      </c>
      <c r="AF40" s="1">
        <f t="shared" si="69"/>
        <v>2513768807</v>
      </c>
      <c r="AG40" s="1">
        <f t="shared" si="70"/>
        <v>6</v>
      </c>
      <c r="AH40" s="1">
        <f>IF(COUNTIF(AG$38:AG40,AG40)&gt;1,1,0)</f>
        <v>0</v>
      </c>
      <c r="AI40" s="1">
        <f t="shared" si="71"/>
        <v>2513768807</v>
      </c>
      <c r="AJ40" s="1">
        <f t="shared" si="72"/>
        <v>6</v>
      </c>
      <c r="AK40" s="1">
        <f>IF(COUNTIF(AJ$38:AJ40,AJ40)&gt;1,1,0)</f>
        <v>0</v>
      </c>
      <c r="AL40" s="1">
        <f t="shared" si="73"/>
        <v>2513768807</v>
      </c>
      <c r="AM40" s="1">
        <f t="shared" si="74"/>
        <v>6</v>
      </c>
      <c r="AN40" s="1">
        <f>IF(COUNTIF(AM$38:AM40,AM40)&gt;1,1,0)</f>
        <v>0</v>
      </c>
      <c r="AO40" s="1">
        <f t="shared" si="75"/>
        <v>2513768807</v>
      </c>
      <c r="AP40" s="1">
        <f t="shared" si="76"/>
        <v>6</v>
      </c>
      <c r="AQ40" s="1">
        <f>IF(COUNTIF(AP$38:AP40,AP40)&gt;1,1,0)</f>
        <v>0</v>
      </c>
      <c r="AR40" s="1">
        <f t="shared" si="77"/>
        <v>2513768807</v>
      </c>
      <c r="AS40" s="1">
        <f t="shared" si="78"/>
        <v>6</v>
      </c>
      <c r="AT40" s="1">
        <f>IF(COUNTIF(AS$38:AS40,AS40)&gt;1,1,0)</f>
        <v>0</v>
      </c>
      <c r="AU40" s="1">
        <f t="shared" si="79"/>
        <v>2513768807</v>
      </c>
      <c r="AV40" s="1">
        <f t="shared" si="80"/>
        <v>6</v>
      </c>
      <c r="AW40" s="1">
        <f>IF(COUNTIF(AV$38:AV40,AV40)&gt;1,1,0)</f>
        <v>0</v>
      </c>
      <c r="AX40" s="1">
        <f t="shared" si="81"/>
        <v>2513768807</v>
      </c>
      <c r="AY40" s="1">
        <f t="shared" si="82"/>
        <v>6</v>
      </c>
      <c r="AZ40" s="1">
        <f>IF(COUNTIF(AY$38:AY40,AY40)&gt;1,1,0)</f>
        <v>0</v>
      </c>
      <c r="BA40" s="1">
        <f t="shared" si="83"/>
        <v>2513768807</v>
      </c>
      <c r="BB40" s="1">
        <f t="shared" si="84"/>
        <v>6</v>
      </c>
      <c r="BC40" s="1">
        <f>IF(COUNTIF(BB$38:BB40,BB40)&gt;1,1,0)</f>
        <v>0</v>
      </c>
      <c r="BD40" s="1">
        <f t="shared" si="85"/>
        <v>2513768807</v>
      </c>
      <c r="BE40" s="1">
        <f t="shared" si="86"/>
        <v>6</v>
      </c>
      <c r="BF40" s="1"/>
    </row>
    <row r="41" spans="1:58" ht="16.5">
      <c r="A41" t="s">
        <v>4</v>
      </c>
      <c r="B41">
        <v>39</v>
      </c>
      <c r="C41">
        <v>3</v>
      </c>
      <c r="D41" t="str">
        <f>VLOOKUP($C41,'4.Spieltag'!$AD$40:$AK$51,D$1,FALSE)</f>
        <v>VK Berlin</v>
      </c>
      <c r="E41" t="str">
        <f>VLOOKUP($C41,'4.Spieltag'!$AD$40:$AK$51,E$1,FALSE)</f>
        <v>B</v>
      </c>
      <c r="F41">
        <f>VLOOKUP($C41,'4.Spieltag'!$AD$40:$AK$51,F$1,FALSE)</f>
        <v>0</v>
      </c>
      <c r="G41">
        <f>VLOOKUP($C41,'4.Spieltag'!$AD$40:$AK$51,G$1,FALSE)</f>
        <v>0</v>
      </c>
      <c r="H41">
        <f>VLOOKUP($C41,'4.Spieltag'!$AD$40:$AK$51,H$1,FALSE)</f>
        <v>0</v>
      </c>
      <c r="I41">
        <f>VLOOKUP($C41,'4.Spieltag'!$AD$40:$AK$51,I$1,FALSE)</f>
        <v>0</v>
      </c>
      <c r="J41">
        <f>VLOOKUP($C41,'4.Spieltag'!$AD$40:$AK$51,J$1,FALSE)</f>
        <v>0</v>
      </c>
      <c r="N41" s="1">
        <f t="shared" si="59"/>
        <v>10</v>
      </c>
      <c r="O41" s="1" t="str">
        <f t="shared" si="60"/>
        <v>KC Wetter</v>
      </c>
      <c r="P41" s="1" t="str">
        <f>Saisondaten!$B$17</f>
        <v>A</v>
      </c>
      <c r="Q41" s="1">
        <f t="shared" si="61"/>
        <v>2</v>
      </c>
      <c r="R41" s="1">
        <f t="shared" si="61"/>
        <v>4</v>
      </c>
      <c r="S41" s="1">
        <f t="shared" si="61"/>
        <v>10</v>
      </c>
      <c r="T41" s="1">
        <f t="shared" si="61"/>
        <v>41</v>
      </c>
      <c r="U41" s="1">
        <f t="shared" si="61"/>
        <v>78</v>
      </c>
      <c r="V41" s="1">
        <f t="shared" si="62"/>
        <v>10</v>
      </c>
      <c r="W41" s="1">
        <f t="shared" si="63"/>
        <v>967429991</v>
      </c>
      <c r="X41" s="1">
        <f t="shared" si="64"/>
        <v>10</v>
      </c>
      <c r="Y41" s="1">
        <f>IF(COUNTIF(X$38:X41,X41)&gt;1,1,0)</f>
        <v>0</v>
      </c>
      <c r="Z41" s="1">
        <f t="shared" si="65"/>
        <v>967429991</v>
      </c>
      <c r="AA41" s="1">
        <f t="shared" si="66"/>
        <v>10</v>
      </c>
      <c r="AB41" s="1">
        <f>IF(COUNTIF(AA$38:AA41,AA41)&gt;1,1,0)</f>
        <v>0</v>
      </c>
      <c r="AC41" s="1">
        <f t="shared" si="67"/>
        <v>967429991</v>
      </c>
      <c r="AD41" s="1">
        <f t="shared" si="68"/>
        <v>10</v>
      </c>
      <c r="AE41" s="1">
        <f>IF(COUNTIF(AD$38:AD41,AD41)&gt;1,1,0)</f>
        <v>0</v>
      </c>
      <c r="AF41" s="1">
        <f t="shared" si="69"/>
        <v>967429991</v>
      </c>
      <c r="AG41" s="1">
        <f t="shared" si="70"/>
        <v>10</v>
      </c>
      <c r="AH41" s="1">
        <f>IF(COUNTIF(AG$38:AG41,AG41)&gt;1,1,0)</f>
        <v>0</v>
      </c>
      <c r="AI41" s="1">
        <f t="shared" si="71"/>
        <v>967429991</v>
      </c>
      <c r="AJ41" s="1">
        <f t="shared" si="72"/>
        <v>10</v>
      </c>
      <c r="AK41" s="1">
        <f>IF(COUNTIF(AJ$38:AJ41,AJ41)&gt;1,1,0)</f>
        <v>0</v>
      </c>
      <c r="AL41" s="1">
        <f t="shared" si="73"/>
        <v>967429991</v>
      </c>
      <c r="AM41" s="1">
        <f t="shared" si="74"/>
        <v>10</v>
      </c>
      <c r="AN41" s="1">
        <f>IF(COUNTIF(AM$38:AM41,AM41)&gt;1,1,0)</f>
        <v>0</v>
      </c>
      <c r="AO41" s="1">
        <f t="shared" si="75"/>
        <v>967429991</v>
      </c>
      <c r="AP41" s="1">
        <f t="shared" si="76"/>
        <v>10</v>
      </c>
      <c r="AQ41" s="1">
        <f>IF(COUNTIF(AP$38:AP41,AP41)&gt;1,1,0)</f>
        <v>0</v>
      </c>
      <c r="AR41" s="1">
        <f t="shared" si="77"/>
        <v>967429991</v>
      </c>
      <c r="AS41" s="1">
        <f t="shared" si="78"/>
        <v>10</v>
      </c>
      <c r="AT41" s="1">
        <f>IF(COUNTIF(AS$38:AS41,AS41)&gt;1,1,0)</f>
        <v>0</v>
      </c>
      <c r="AU41" s="1">
        <f t="shared" si="79"/>
        <v>967429991</v>
      </c>
      <c r="AV41" s="1">
        <f t="shared" si="80"/>
        <v>10</v>
      </c>
      <c r="AW41" s="1">
        <f>IF(COUNTIF(AV$38:AV41,AV41)&gt;1,1,0)</f>
        <v>0</v>
      </c>
      <c r="AX41" s="1">
        <f t="shared" si="81"/>
        <v>967429991</v>
      </c>
      <c r="AY41" s="1">
        <f t="shared" si="82"/>
        <v>10</v>
      </c>
      <c r="AZ41" s="1">
        <f>IF(COUNTIF(AY$38:AY41,AY41)&gt;1,1,0)</f>
        <v>0</v>
      </c>
      <c r="BA41" s="1">
        <f t="shared" si="83"/>
        <v>967429991</v>
      </c>
      <c r="BB41" s="1">
        <f t="shared" si="84"/>
        <v>10</v>
      </c>
      <c r="BC41" s="1">
        <f>IF(COUNTIF(BB$38:BB41,BB41)&gt;1,1,0)</f>
        <v>0</v>
      </c>
      <c r="BD41" s="1">
        <f t="shared" si="85"/>
        <v>967429991</v>
      </c>
      <c r="BE41" s="1">
        <f t="shared" si="86"/>
        <v>10</v>
      </c>
      <c r="BF41" s="1"/>
    </row>
    <row r="42" spans="1:58" ht="16.5">
      <c r="A42" t="s">
        <v>4</v>
      </c>
      <c r="B42">
        <v>40</v>
      </c>
      <c r="C42">
        <v>4</v>
      </c>
      <c r="D42" t="str">
        <f>VLOOKUP($C42,'4.Spieltag'!$AD$40:$AK$51,D$1,FALSE)</f>
        <v>RSV Hannover</v>
      </c>
      <c r="E42" t="str">
        <f>VLOOKUP($C42,'4.Spieltag'!$AD$40:$AK$51,E$1,FALSE)</f>
        <v>B</v>
      </c>
      <c r="F42">
        <f>VLOOKUP($C42,'4.Spieltag'!$AD$40:$AK$51,F$1,FALSE)</f>
        <v>0</v>
      </c>
      <c r="G42">
        <f>VLOOKUP($C42,'4.Spieltag'!$AD$40:$AK$51,G$1,FALSE)</f>
        <v>0</v>
      </c>
      <c r="H42">
        <f>VLOOKUP($C42,'4.Spieltag'!$AD$40:$AK$51,H$1,FALSE)</f>
        <v>0</v>
      </c>
      <c r="I42">
        <f>VLOOKUP($C42,'4.Spieltag'!$AD$40:$AK$51,I$1,FALSE)</f>
        <v>0</v>
      </c>
      <c r="J42">
        <f>VLOOKUP($C42,'4.Spieltag'!$AD$40:$AK$51,J$1,FALSE)</f>
        <v>0</v>
      </c>
      <c r="N42" s="1">
        <f t="shared" si="59"/>
        <v>8</v>
      </c>
      <c r="O42" s="1" t="str">
        <f t="shared" si="60"/>
        <v>KGW Essen</v>
      </c>
      <c r="P42" s="1" t="str">
        <f>Saisondaten!$B$17</f>
        <v>A</v>
      </c>
      <c r="Q42" s="1">
        <f t="shared" si="61"/>
        <v>3</v>
      </c>
      <c r="R42" s="1">
        <f t="shared" si="61"/>
        <v>6</v>
      </c>
      <c r="S42" s="1">
        <f t="shared" si="61"/>
        <v>7</v>
      </c>
      <c r="T42" s="1">
        <f t="shared" si="61"/>
        <v>37</v>
      </c>
      <c r="U42" s="1">
        <f t="shared" si="61"/>
        <v>50</v>
      </c>
      <c r="V42" s="1">
        <f t="shared" si="62"/>
        <v>15</v>
      </c>
      <c r="W42" s="1">
        <f t="shared" si="63"/>
        <v>1488732190</v>
      </c>
      <c r="X42" s="1">
        <f t="shared" si="64"/>
        <v>8</v>
      </c>
      <c r="Y42" s="1">
        <f>IF(COUNTIF(X$38:X42,X42)&gt;1,1,0)</f>
        <v>0</v>
      </c>
      <c r="Z42" s="1">
        <f t="shared" si="65"/>
        <v>1488732190</v>
      </c>
      <c r="AA42" s="1">
        <f t="shared" si="66"/>
        <v>8</v>
      </c>
      <c r="AB42" s="1">
        <f>IF(COUNTIF(AA$38:AA42,AA42)&gt;1,1,0)</f>
        <v>0</v>
      </c>
      <c r="AC42" s="1">
        <f t="shared" si="67"/>
        <v>1488732190</v>
      </c>
      <c r="AD42" s="1">
        <f t="shared" si="68"/>
        <v>8</v>
      </c>
      <c r="AE42" s="1">
        <f>IF(COUNTIF(AD$38:AD42,AD42)&gt;1,1,0)</f>
        <v>0</v>
      </c>
      <c r="AF42" s="1">
        <f t="shared" si="69"/>
        <v>1488732190</v>
      </c>
      <c r="AG42" s="1">
        <f t="shared" si="70"/>
        <v>8</v>
      </c>
      <c r="AH42" s="1">
        <f>IF(COUNTIF(AG$38:AG42,AG42)&gt;1,1,0)</f>
        <v>0</v>
      </c>
      <c r="AI42" s="1">
        <f t="shared" si="71"/>
        <v>1488732190</v>
      </c>
      <c r="AJ42" s="1">
        <f t="shared" si="72"/>
        <v>8</v>
      </c>
      <c r="AK42" s="1">
        <f>IF(COUNTIF(AJ$38:AJ42,AJ42)&gt;1,1,0)</f>
        <v>0</v>
      </c>
      <c r="AL42" s="1">
        <f t="shared" si="73"/>
        <v>1488732190</v>
      </c>
      <c r="AM42" s="1">
        <f t="shared" si="74"/>
        <v>8</v>
      </c>
      <c r="AN42" s="1">
        <f>IF(COUNTIF(AM$38:AM42,AM42)&gt;1,1,0)</f>
        <v>0</v>
      </c>
      <c r="AO42" s="1">
        <f t="shared" si="75"/>
        <v>1488732190</v>
      </c>
      <c r="AP42" s="1">
        <f t="shared" si="76"/>
        <v>8</v>
      </c>
      <c r="AQ42" s="1">
        <f>IF(COUNTIF(AP$38:AP42,AP42)&gt;1,1,0)</f>
        <v>0</v>
      </c>
      <c r="AR42" s="1">
        <f t="shared" si="77"/>
        <v>1488732190</v>
      </c>
      <c r="AS42" s="1">
        <f t="shared" si="78"/>
        <v>8</v>
      </c>
      <c r="AT42" s="1">
        <f>IF(COUNTIF(AS$38:AS42,AS42)&gt;1,1,0)</f>
        <v>0</v>
      </c>
      <c r="AU42" s="1">
        <f t="shared" si="79"/>
        <v>1488732190</v>
      </c>
      <c r="AV42" s="1">
        <f t="shared" si="80"/>
        <v>8</v>
      </c>
      <c r="AW42" s="1">
        <f>IF(COUNTIF(AV$38:AV42,AV42)&gt;1,1,0)</f>
        <v>0</v>
      </c>
      <c r="AX42" s="1">
        <f t="shared" si="81"/>
        <v>1488732190</v>
      </c>
      <c r="AY42" s="1">
        <f t="shared" si="82"/>
        <v>8</v>
      </c>
      <c r="AZ42" s="1">
        <f>IF(COUNTIF(AY$38:AY42,AY42)&gt;1,1,0)</f>
        <v>0</v>
      </c>
      <c r="BA42" s="1">
        <f t="shared" si="83"/>
        <v>1488732190</v>
      </c>
      <c r="BB42" s="1">
        <f t="shared" si="84"/>
        <v>8</v>
      </c>
      <c r="BC42" s="1">
        <f>IF(COUNTIF(BB$38:BB42,BB42)&gt;1,1,0)</f>
        <v>0</v>
      </c>
      <c r="BD42" s="1">
        <f t="shared" si="85"/>
        <v>1488732190</v>
      </c>
      <c r="BE42" s="1">
        <f t="shared" si="86"/>
        <v>8</v>
      </c>
      <c r="BF42" s="1"/>
    </row>
    <row r="43" spans="1:58" ht="16.5">
      <c r="A43" t="s">
        <v>4</v>
      </c>
      <c r="B43">
        <v>41</v>
      </c>
      <c r="C43">
        <v>5</v>
      </c>
      <c r="D43" t="str">
        <f>VLOOKUP($C43,'4.Spieltag'!$AD$40:$AK$51,D$1,FALSE)</f>
        <v>KCNW Berlin</v>
      </c>
      <c r="E43" t="str">
        <f>VLOOKUP($C43,'4.Spieltag'!$AD$40:$AK$51,E$1,FALSE)</f>
        <v>B</v>
      </c>
      <c r="F43">
        <f>VLOOKUP($C43,'4.Spieltag'!$AD$40:$AK$51,F$1,FALSE)</f>
        <v>0</v>
      </c>
      <c r="G43">
        <f>VLOOKUP($C43,'4.Spieltag'!$AD$40:$AK$51,G$1,FALSE)</f>
        <v>0</v>
      </c>
      <c r="H43">
        <f>VLOOKUP($C43,'4.Spieltag'!$AD$40:$AK$51,H$1,FALSE)</f>
        <v>0</v>
      </c>
      <c r="I43">
        <f>VLOOKUP($C43,'4.Spieltag'!$AD$40:$AK$51,I$1,FALSE)</f>
        <v>0</v>
      </c>
      <c r="J43">
        <f>VLOOKUP($C43,'4.Spieltag'!$AD$40:$AK$51,J$1,FALSE)</f>
        <v>0</v>
      </c>
      <c r="N43" s="1">
        <f t="shared" si="59"/>
        <v>11</v>
      </c>
      <c r="O43" s="1" t="str">
        <f t="shared" si="60"/>
        <v>Göttinger PC</v>
      </c>
      <c r="P43" s="1" t="str">
        <f>Saisondaten!$B$17</f>
        <v>A</v>
      </c>
      <c r="Q43" s="1">
        <f t="shared" si="61"/>
        <v>1</v>
      </c>
      <c r="R43" s="1">
        <f t="shared" si="61"/>
        <v>2</v>
      </c>
      <c r="S43" s="1">
        <f t="shared" si="61"/>
        <v>13</v>
      </c>
      <c r="T43" s="1">
        <f t="shared" si="61"/>
        <v>38</v>
      </c>
      <c r="U43" s="1">
        <f t="shared" si="61"/>
        <v>81</v>
      </c>
      <c r="V43" s="1">
        <f t="shared" si="62"/>
        <v>5</v>
      </c>
      <c r="W43" s="1">
        <f t="shared" si="63"/>
        <v>462073337</v>
      </c>
      <c r="X43" s="1">
        <f t="shared" si="64"/>
        <v>11</v>
      </c>
      <c r="Y43" s="1">
        <f>IF(COUNTIF(X$38:X43,X43)&gt;1,1,0)</f>
        <v>0</v>
      </c>
      <c r="Z43" s="1">
        <f t="shared" si="65"/>
        <v>462073337</v>
      </c>
      <c r="AA43" s="1">
        <f t="shared" si="66"/>
        <v>11</v>
      </c>
      <c r="AB43" s="1">
        <f>IF(COUNTIF(AA$38:AA43,AA43)&gt;1,1,0)</f>
        <v>0</v>
      </c>
      <c r="AC43" s="1">
        <f t="shared" si="67"/>
        <v>462073337</v>
      </c>
      <c r="AD43" s="1">
        <f t="shared" si="68"/>
        <v>11</v>
      </c>
      <c r="AE43" s="1">
        <f>IF(COUNTIF(AD$38:AD43,AD43)&gt;1,1,0)</f>
        <v>0</v>
      </c>
      <c r="AF43" s="1">
        <f t="shared" si="69"/>
        <v>462073337</v>
      </c>
      <c r="AG43" s="1">
        <f t="shared" si="70"/>
        <v>11</v>
      </c>
      <c r="AH43" s="1">
        <f>IF(COUNTIF(AG$38:AG43,AG43)&gt;1,1,0)</f>
        <v>0</v>
      </c>
      <c r="AI43" s="1">
        <f t="shared" si="71"/>
        <v>462073337</v>
      </c>
      <c r="AJ43" s="1">
        <f t="shared" si="72"/>
        <v>11</v>
      </c>
      <c r="AK43" s="1">
        <f>IF(COUNTIF(AJ$38:AJ43,AJ43)&gt;1,1,0)</f>
        <v>0</v>
      </c>
      <c r="AL43" s="1">
        <f t="shared" si="73"/>
        <v>462073337</v>
      </c>
      <c r="AM43" s="1">
        <f t="shared" si="74"/>
        <v>11</v>
      </c>
      <c r="AN43" s="1">
        <f>IF(COUNTIF(AM$38:AM43,AM43)&gt;1,1,0)</f>
        <v>0</v>
      </c>
      <c r="AO43" s="1">
        <f t="shared" si="75"/>
        <v>462073337</v>
      </c>
      <c r="AP43" s="1">
        <f t="shared" si="76"/>
        <v>11</v>
      </c>
      <c r="AQ43" s="1">
        <f>IF(COUNTIF(AP$38:AP43,AP43)&gt;1,1,0)</f>
        <v>0</v>
      </c>
      <c r="AR43" s="1">
        <f t="shared" si="77"/>
        <v>462073337</v>
      </c>
      <c r="AS43" s="1">
        <f t="shared" si="78"/>
        <v>11</v>
      </c>
      <c r="AT43" s="1">
        <f>IF(COUNTIF(AS$38:AS43,AS43)&gt;1,1,0)</f>
        <v>0</v>
      </c>
      <c r="AU43" s="1">
        <f t="shared" si="79"/>
        <v>462073337</v>
      </c>
      <c r="AV43" s="1">
        <f t="shared" si="80"/>
        <v>11</v>
      </c>
      <c r="AW43" s="1">
        <f>IF(COUNTIF(AV$38:AV43,AV43)&gt;1,1,0)</f>
        <v>0</v>
      </c>
      <c r="AX43" s="1">
        <f t="shared" si="81"/>
        <v>462073337</v>
      </c>
      <c r="AY43" s="1">
        <f t="shared" si="82"/>
        <v>11</v>
      </c>
      <c r="AZ43" s="1">
        <f>IF(COUNTIF(AY$38:AY43,AY43)&gt;1,1,0)</f>
        <v>0</v>
      </c>
      <c r="BA43" s="1">
        <f t="shared" si="83"/>
        <v>462073337</v>
      </c>
      <c r="BB43" s="1">
        <f t="shared" si="84"/>
        <v>11</v>
      </c>
      <c r="BC43" s="1">
        <f>IF(COUNTIF(BB$38:BB43,BB43)&gt;1,1,0)</f>
        <v>0</v>
      </c>
      <c r="BD43" s="1">
        <f t="shared" si="85"/>
        <v>462073337</v>
      </c>
      <c r="BE43" s="1">
        <f t="shared" si="86"/>
        <v>11</v>
      </c>
      <c r="BF43" s="1"/>
    </row>
    <row r="44" spans="1:58" ht="16.5">
      <c r="A44" t="s">
        <v>4</v>
      </c>
      <c r="B44">
        <v>42</v>
      </c>
      <c r="C44">
        <v>6</v>
      </c>
      <c r="D44" t="str">
        <f>VLOOKUP($C44,'4.Spieltag'!$AD$40:$AK$51,D$1,FALSE)</f>
        <v>ACC Hamburg</v>
      </c>
      <c r="E44" t="str">
        <f>VLOOKUP($C44,'4.Spieltag'!$AD$40:$AK$51,E$1,FALSE)</f>
        <v>B</v>
      </c>
      <c r="F44">
        <f>VLOOKUP($C44,'4.Spieltag'!$AD$40:$AK$51,F$1,FALSE)</f>
        <v>0</v>
      </c>
      <c r="G44">
        <f>VLOOKUP($C44,'4.Spieltag'!$AD$40:$AK$51,G$1,FALSE)</f>
        <v>0</v>
      </c>
      <c r="H44">
        <f>VLOOKUP($C44,'4.Spieltag'!$AD$40:$AK$51,H$1,FALSE)</f>
        <v>0</v>
      </c>
      <c r="I44">
        <f>VLOOKUP($C44,'4.Spieltag'!$AD$40:$AK$51,I$1,FALSE)</f>
        <v>0</v>
      </c>
      <c r="J44">
        <f>VLOOKUP($C44,'4.Spieltag'!$AD$40:$AK$51,J$1,FALSE)</f>
        <v>0</v>
      </c>
      <c r="N44" s="1">
        <f t="shared" si="59"/>
        <v>4</v>
      </c>
      <c r="O44" s="1" t="str">
        <f t="shared" si="60"/>
        <v>ACC Hamburg</v>
      </c>
      <c r="P44" s="1" t="str">
        <f>Saisondaten!$C$17</f>
        <v>B</v>
      </c>
      <c r="Q44" s="1">
        <f t="shared" si="61"/>
        <v>10</v>
      </c>
      <c r="R44" s="1">
        <f t="shared" si="61"/>
        <v>2</v>
      </c>
      <c r="S44" s="1">
        <f t="shared" si="61"/>
        <v>4</v>
      </c>
      <c r="T44" s="1">
        <f t="shared" si="61"/>
        <v>65</v>
      </c>
      <c r="U44" s="1">
        <f t="shared" si="61"/>
        <v>43</v>
      </c>
      <c r="V44" s="1">
        <f t="shared" si="62"/>
        <v>32</v>
      </c>
      <c r="W44" s="1">
        <f t="shared" si="63"/>
        <v>3220061009</v>
      </c>
      <c r="X44" s="1">
        <f t="shared" si="64"/>
        <v>4</v>
      </c>
      <c r="Y44" s="1">
        <f>IF(COUNTIF(X$38:X44,X44)&gt;1,1,0)</f>
        <v>0</v>
      </c>
      <c r="Z44" s="1">
        <f t="shared" si="65"/>
        <v>3220061009</v>
      </c>
      <c r="AA44" s="1">
        <f t="shared" si="66"/>
        <v>4</v>
      </c>
      <c r="AB44" s="1">
        <f>IF(COUNTIF(AA$38:AA44,AA44)&gt;1,1,0)</f>
        <v>0</v>
      </c>
      <c r="AC44" s="1">
        <f t="shared" si="67"/>
        <v>3220061009</v>
      </c>
      <c r="AD44" s="1">
        <f t="shared" si="68"/>
        <v>4</v>
      </c>
      <c r="AE44" s="1">
        <f>IF(COUNTIF(AD$38:AD44,AD44)&gt;1,1,0)</f>
        <v>0</v>
      </c>
      <c r="AF44" s="1">
        <f t="shared" si="69"/>
        <v>3220061009</v>
      </c>
      <c r="AG44" s="1">
        <f t="shared" si="70"/>
        <v>4</v>
      </c>
      <c r="AH44" s="1">
        <f>IF(COUNTIF(AG$38:AG44,AG44)&gt;1,1,0)</f>
        <v>0</v>
      </c>
      <c r="AI44" s="1">
        <f t="shared" si="71"/>
        <v>3220061009</v>
      </c>
      <c r="AJ44" s="1">
        <f t="shared" si="72"/>
        <v>4</v>
      </c>
      <c r="AK44" s="1">
        <f>IF(COUNTIF(AJ$38:AJ44,AJ44)&gt;1,1,0)</f>
        <v>0</v>
      </c>
      <c r="AL44" s="1">
        <f t="shared" si="73"/>
        <v>3220061009</v>
      </c>
      <c r="AM44" s="1">
        <f t="shared" si="74"/>
        <v>4</v>
      </c>
      <c r="AN44" s="1">
        <f>IF(COUNTIF(AM$38:AM44,AM44)&gt;1,1,0)</f>
        <v>0</v>
      </c>
      <c r="AO44" s="1">
        <f t="shared" si="75"/>
        <v>3220061009</v>
      </c>
      <c r="AP44" s="1">
        <f t="shared" si="76"/>
        <v>4</v>
      </c>
      <c r="AQ44" s="1">
        <f>IF(COUNTIF(AP$38:AP44,AP44)&gt;1,1,0)</f>
        <v>0</v>
      </c>
      <c r="AR44" s="1">
        <f t="shared" si="77"/>
        <v>3220061009</v>
      </c>
      <c r="AS44" s="1">
        <f t="shared" si="78"/>
        <v>4</v>
      </c>
      <c r="AT44" s="1">
        <f>IF(COUNTIF(AS$38:AS44,AS44)&gt;1,1,0)</f>
        <v>0</v>
      </c>
      <c r="AU44" s="1">
        <f t="shared" si="79"/>
        <v>3220061009</v>
      </c>
      <c r="AV44" s="1">
        <f t="shared" si="80"/>
        <v>4</v>
      </c>
      <c r="AW44" s="1">
        <f>IF(COUNTIF(AV$38:AV44,AV44)&gt;1,1,0)</f>
        <v>0</v>
      </c>
      <c r="AX44" s="1">
        <f t="shared" si="81"/>
        <v>3220061009</v>
      </c>
      <c r="AY44" s="1">
        <f t="shared" si="82"/>
        <v>4</v>
      </c>
      <c r="AZ44" s="1">
        <f>IF(COUNTIF(AY$38:AY44,AY44)&gt;1,1,0)</f>
        <v>0</v>
      </c>
      <c r="BA44" s="1">
        <f t="shared" si="83"/>
        <v>3220061009</v>
      </c>
      <c r="BB44" s="1">
        <f t="shared" si="84"/>
        <v>4</v>
      </c>
      <c r="BC44" s="1">
        <f>IF(COUNTIF(BB$38:BB44,BB44)&gt;1,1,0)</f>
        <v>0</v>
      </c>
      <c r="BD44" s="1">
        <f t="shared" si="85"/>
        <v>3220061009</v>
      </c>
      <c r="BE44" s="1">
        <f t="shared" si="86"/>
        <v>4</v>
      </c>
      <c r="BF44" s="1"/>
    </row>
    <row r="45" spans="1:58" ht="16.5">
      <c r="A45" t="s">
        <v>4</v>
      </c>
      <c r="B45">
        <v>43</v>
      </c>
      <c r="C45">
        <v>7</v>
      </c>
      <c r="D45" t="str">
        <f>VLOOKUP($C45,'4.Spieltag'!$AD$40:$AK$51,D$1,FALSE)</f>
        <v>Göttinger PC</v>
      </c>
      <c r="E45" t="str">
        <f>VLOOKUP($C45,'4.Spieltag'!$AD$40:$AK$51,E$1,FALSE)</f>
        <v>A</v>
      </c>
      <c r="F45">
        <f>VLOOKUP($C45,'4.Spieltag'!$AD$40:$AK$51,F$1,FALSE)</f>
        <v>0</v>
      </c>
      <c r="G45">
        <f>VLOOKUP($C45,'4.Spieltag'!$AD$40:$AK$51,G$1,FALSE)</f>
        <v>0</v>
      </c>
      <c r="H45">
        <f>VLOOKUP($C45,'4.Spieltag'!$AD$40:$AK$51,H$1,FALSE)</f>
        <v>0</v>
      </c>
      <c r="I45">
        <f>VLOOKUP($C45,'4.Spieltag'!$AD$40:$AK$51,I$1,FALSE)</f>
        <v>0</v>
      </c>
      <c r="J45">
        <f>VLOOKUP($C45,'4.Spieltag'!$AD$40:$AK$51,J$1,FALSE)</f>
        <v>0</v>
      </c>
      <c r="N45" s="1">
        <f t="shared" si="59"/>
        <v>7</v>
      </c>
      <c r="O45" s="1" t="str">
        <f t="shared" si="60"/>
        <v>KCNW Berlin</v>
      </c>
      <c r="P45" s="1" t="str">
        <f>Saisondaten!$C$17</f>
        <v>B</v>
      </c>
      <c r="Q45" s="1">
        <f t="shared" si="61"/>
        <v>8</v>
      </c>
      <c r="R45" s="1">
        <f t="shared" si="61"/>
        <v>1</v>
      </c>
      <c r="S45" s="1">
        <f t="shared" si="61"/>
        <v>7</v>
      </c>
      <c r="T45" s="1">
        <f t="shared" si="61"/>
        <v>53</v>
      </c>
      <c r="U45" s="1">
        <f t="shared" si="61"/>
        <v>44</v>
      </c>
      <c r="V45" s="1">
        <f t="shared" si="62"/>
        <v>25</v>
      </c>
      <c r="W45" s="1">
        <f t="shared" si="63"/>
        <v>2508412148</v>
      </c>
      <c r="X45" s="1">
        <f t="shared" si="64"/>
        <v>7</v>
      </c>
      <c r="Y45" s="1">
        <f>IF(COUNTIF(X$38:X45,X45)&gt;1,1,0)</f>
        <v>0</v>
      </c>
      <c r="Z45" s="1">
        <f t="shared" si="65"/>
        <v>2508412148</v>
      </c>
      <c r="AA45" s="1">
        <f t="shared" si="66"/>
        <v>7</v>
      </c>
      <c r="AB45" s="1">
        <f>IF(COUNTIF(AA$38:AA45,AA45)&gt;1,1,0)</f>
        <v>0</v>
      </c>
      <c r="AC45" s="1">
        <f t="shared" si="67"/>
        <v>2508412148</v>
      </c>
      <c r="AD45" s="1">
        <f t="shared" si="68"/>
        <v>7</v>
      </c>
      <c r="AE45" s="1">
        <f>IF(COUNTIF(AD$38:AD45,AD45)&gt;1,1,0)</f>
        <v>0</v>
      </c>
      <c r="AF45" s="1">
        <f t="shared" si="69"/>
        <v>2508412148</v>
      </c>
      <c r="AG45" s="1">
        <f t="shared" si="70"/>
        <v>7</v>
      </c>
      <c r="AH45" s="1">
        <f>IF(COUNTIF(AG$38:AG45,AG45)&gt;1,1,0)</f>
        <v>0</v>
      </c>
      <c r="AI45" s="1">
        <f t="shared" si="71"/>
        <v>2508412148</v>
      </c>
      <c r="AJ45" s="1">
        <f t="shared" si="72"/>
        <v>7</v>
      </c>
      <c r="AK45" s="1">
        <f>IF(COUNTIF(AJ$38:AJ45,AJ45)&gt;1,1,0)</f>
        <v>0</v>
      </c>
      <c r="AL45" s="1">
        <f t="shared" si="73"/>
        <v>2508412148</v>
      </c>
      <c r="AM45" s="1">
        <f t="shared" si="74"/>
        <v>7</v>
      </c>
      <c r="AN45" s="1">
        <f>IF(COUNTIF(AM$38:AM45,AM45)&gt;1,1,0)</f>
        <v>0</v>
      </c>
      <c r="AO45" s="1">
        <f t="shared" si="75"/>
        <v>2508412148</v>
      </c>
      <c r="AP45" s="1">
        <f t="shared" si="76"/>
        <v>7</v>
      </c>
      <c r="AQ45" s="1">
        <f>IF(COUNTIF(AP$38:AP45,AP45)&gt;1,1,0)</f>
        <v>0</v>
      </c>
      <c r="AR45" s="1">
        <f t="shared" si="77"/>
        <v>2508412148</v>
      </c>
      <c r="AS45" s="1">
        <f t="shared" si="78"/>
        <v>7</v>
      </c>
      <c r="AT45" s="1">
        <f>IF(COUNTIF(AS$38:AS45,AS45)&gt;1,1,0)</f>
        <v>0</v>
      </c>
      <c r="AU45" s="1">
        <f t="shared" si="79"/>
        <v>2508412148</v>
      </c>
      <c r="AV45" s="1">
        <f t="shared" si="80"/>
        <v>7</v>
      </c>
      <c r="AW45" s="1">
        <f>IF(COUNTIF(AV$38:AV45,AV45)&gt;1,1,0)</f>
        <v>0</v>
      </c>
      <c r="AX45" s="1">
        <f t="shared" si="81"/>
        <v>2508412148</v>
      </c>
      <c r="AY45" s="1">
        <f t="shared" si="82"/>
        <v>7</v>
      </c>
      <c r="AZ45" s="1">
        <f>IF(COUNTIF(AY$38:AY45,AY45)&gt;1,1,0)</f>
        <v>0</v>
      </c>
      <c r="BA45" s="1">
        <f t="shared" si="83"/>
        <v>2508412148</v>
      </c>
      <c r="BB45" s="1">
        <f t="shared" si="84"/>
        <v>7</v>
      </c>
      <c r="BC45" s="1">
        <f>IF(COUNTIF(BB$38:BB45,BB45)&gt;1,1,0)</f>
        <v>0</v>
      </c>
      <c r="BD45" s="1">
        <f t="shared" si="85"/>
        <v>2508412148</v>
      </c>
      <c r="BE45" s="1">
        <f t="shared" si="86"/>
        <v>7</v>
      </c>
      <c r="BF45" s="1"/>
    </row>
    <row r="46" spans="1:58" ht="16.5">
      <c r="A46" t="s">
        <v>4</v>
      </c>
      <c r="B46">
        <v>44</v>
      </c>
      <c r="C46">
        <v>8</v>
      </c>
      <c r="D46" t="str">
        <f>VLOOKUP($C46,'4.Spieltag'!$AD$40:$AK$51,D$1,FALSE)</f>
        <v>KGW Essen</v>
      </c>
      <c r="E46" t="str">
        <f>VLOOKUP($C46,'4.Spieltag'!$AD$40:$AK$51,E$1,FALSE)</f>
        <v>A</v>
      </c>
      <c r="F46">
        <f>VLOOKUP($C46,'4.Spieltag'!$AD$40:$AK$51,F$1,FALSE)</f>
        <v>0</v>
      </c>
      <c r="G46">
        <f>VLOOKUP($C46,'4.Spieltag'!$AD$40:$AK$51,G$1,FALSE)</f>
        <v>0</v>
      </c>
      <c r="H46">
        <f>VLOOKUP($C46,'4.Spieltag'!$AD$40:$AK$51,H$1,FALSE)</f>
        <v>0</v>
      </c>
      <c r="I46">
        <f>VLOOKUP($C46,'4.Spieltag'!$AD$40:$AK$51,I$1,FALSE)</f>
        <v>0</v>
      </c>
      <c r="J46">
        <f>VLOOKUP($C46,'4.Spieltag'!$AD$40:$AK$51,J$1,FALSE)</f>
        <v>0</v>
      </c>
      <c r="N46" s="1">
        <f t="shared" si="59"/>
        <v>3</v>
      </c>
      <c r="O46" s="1" t="str">
        <f t="shared" si="60"/>
        <v>RSV Hannover</v>
      </c>
      <c r="P46" s="1" t="str">
        <f>Saisondaten!$C$17</f>
        <v>B</v>
      </c>
      <c r="Q46" s="1">
        <f t="shared" si="61"/>
        <v>11</v>
      </c>
      <c r="R46" s="1">
        <f t="shared" si="61"/>
        <v>2</v>
      </c>
      <c r="S46" s="1">
        <f t="shared" si="61"/>
        <v>3</v>
      </c>
      <c r="T46" s="1">
        <f t="shared" si="61"/>
        <v>57</v>
      </c>
      <c r="U46" s="1">
        <f t="shared" si="61"/>
        <v>36</v>
      </c>
      <c r="V46" s="1">
        <f t="shared" si="62"/>
        <v>35</v>
      </c>
      <c r="W46" s="1">
        <f t="shared" si="63"/>
        <v>3519109902</v>
      </c>
      <c r="X46" s="1">
        <f t="shared" si="64"/>
        <v>3</v>
      </c>
      <c r="Y46" s="1">
        <f>IF(COUNTIF(X$38:X46,X46)&gt;1,1,0)</f>
        <v>0</v>
      </c>
      <c r="Z46" s="1">
        <f t="shared" si="65"/>
        <v>3519109902</v>
      </c>
      <c r="AA46" s="1">
        <f t="shared" si="66"/>
        <v>3</v>
      </c>
      <c r="AB46" s="1">
        <f>IF(COUNTIF(AA$38:AA46,AA46)&gt;1,1,0)</f>
        <v>0</v>
      </c>
      <c r="AC46" s="1">
        <f t="shared" si="67"/>
        <v>3519109902</v>
      </c>
      <c r="AD46" s="1">
        <f t="shared" si="68"/>
        <v>3</v>
      </c>
      <c r="AE46" s="1">
        <f>IF(COUNTIF(AD$38:AD46,AD46)&gt;1,1,0)</f>
        <v>0</v>
      </c>
      <c r="AF46" s="1">
        <f t="shared" si="69"/>
        <v>3519109902</v>
      </c>
      <c r="AG46" s="1">
        <f t="shared" si="70"/>
        <v>3</v>
      </c>
      <c r="AH46" s="1">
        <f>IF(COUNTIF(AG$38:AG46,AG46)&gt;1,1,0)</f>
        <v>0</v>
      </c>
      <c r="AI46" s="1">
        <f t="shared" si="71"/>
        <v>3519109902</v>
      </c>
      <c r="AJ46" s="1">
        <f t="shared" si="72"/>
        <v>3</v>
      </c>
      <c r="AK46" s="1">
        <f>IF(COUNTIF(AJ$38:AJ46,AJ46)&gt;1,1,0)</f>
        <v>0</v>
      </c>
      <c r="AL46" s="1">
        <f t="shared" si="73"/>
        <v>3519109902</v>
      </c>
      <c r="AM46" s="1">
        <f t="shared" si="74"/>
        <v>3</v>
      </c>
      <c r="AN46" s="1">
        <f>IF(COUNTIF(AM$38:AM46,AM46)&gt;1,1,0)</f>
        <v>0</v>
      </c>
      <c r="AO46" s="1">
        <f t="shared" si="75"/>
        <v>3519109902</v>
      </c>
      <c r="AP46" s="1">
        <f t="shared" si="76"/>
        <v>3</v>
      </c>
      <c r="AQ46" s="1">
        <f>IF(COUNTIF(AP$38:AP46,AP46)&gt;1,1,0)</f>
        <v>0</v>
      </c>
      <c r="AR46" s="1">
        <f t="shared" si="77"/>
        <v>3519109902</v>
      </c>
      <c r="AS46" s="1">
        <f t="shared" si="78"/>
        <v>3</v>
      </c>
      <c r="AT46" s="1">
        <f>IF(COUNTIF(AS$38:AS46,AS46)&gt;1,1,0)</f>
        <v>0</v>
      </c>
      <c r="AU46" s="1">
        <f t="shared" si="79"/>
        <v>3519109902</v>
      </c>
      <c r="AV46" s="1">
        <f t="shared" si="80"/>
        <v>3</v>
      </c>
      <c r="AW46" s="1">
        <f>IF(COUNTIF(AV$38:AV46,AV46)&gt;1,1,0)</f>
        <v>0</v>
      </c>
      <c r="AX46" s="1">
        <f t="shared" si="81"/>
        <v>3519109902</v>
      </c>
      <c r="AY46" s="1">
        <f t="shared" si="82"/>
        <v>3</v>
      </c>
      <c r="AZ46" s="1">
        <f>IF(COUNTIF(AY$38:AY46,AY46)&gt;1,1,0)</f>
        <v>0</v>
      </c>
      <c r="BA46" s="1">
        <f t="shared" si="83"/>
        <v>3519109902</v>
      </c>
      <c r="BB46" s="1">
        <f t="shared" si="84"/>
        <v>3</v>
      </c>
      <c r="BC46" s="1">
        <f>IF(COUNTIF(BB$38:BB46,BB46)&gt;1,1,0)</f>
        <v>0</v>
      </c>
      <c r="BD46" s="1">
        <f t="shared" si="85"/>
        <v>3519109902</v>
      </c>
      <c r="BE46" s="1">
        <f t="shared" si="86"/>
        <v>3</v>
      </c>
      <c r="BF46" s="1"/>
    </row>
    <row r="47" spans="1:58" ht="16.5">
      <c r="A47" t="s">
        <v>4</v>
      </c>
      <c r="B47">
        <v>45</v>
      </c>
      <c r="C47">
        <v>9</v>
      </c>
      <c r="D47" t="str">
        <f>VLOOKUP($C47,'4.Spieltag'!$AD$40:$AK$51,D$1,FALSE)</f>
        <v>KC Wetter</v>
      </c>
      <c r="E47" t="str">
        <f>VLOOKUP($C47,'4.Spieltag'!$AD$40:$AK$51,E$1,FALSE)</f>
        <v>A</v>
      </c>
      <c r="F47">
        <f>VLOOKUP($C47,'4.Spieltag'!$AD$40:$AK$51,F$1,FALSE)</f>
        <v>0</v>
      </c>
      <c r="G47">
        <f>VLOOKUP($C47,'4.Spieltag'!$AD$40:$AK$51,G$1,FALSE)</f>
        <v>0</v>
      </c>
      <c r="H47">
        <f>VLOOKUP($C47,'4.Spieltag'!$AD$40:$AK$51,H$1,FALSE)</f>
        <v>0</v>
      </c>
      <c r="I47">
        <f>VLOOKUP($C47,'4.Spieltag'!$AD$40:$AK$51,I$1,FALSE)</f>
        <v>0</v>
      </c>
      <c r="J47">
        <f>VLOOKUP($C47,'4.Spieltag'!$AD$40:$AK$51,J$1,FALSE)</f>
        <v>0</v>
      </c>
      <c r="N47" s="1">
        <f t="shared" si="59"/>
        <v>9</v>
      </c>
      <c r="O47" s="1" t="str">
        <f t="shared" si="60"/>
        <v>VK Berlin</v>
      </c>
      <c r="P47" s="1" t="str">
        <f>Saisondaten!$C$17</f>
        <v>B</v>
      </c>
      <c r="Q47" s="1">
        <f t="shared" si="61"/>
        <v>3</v>
      </c>
      <c r="R47" s="1">
        <f t="shared" si="61"/>
        <v>3</v>
      </c>
      <c r="S47" s="1">
        <f t="shared" si="61"/>
        <v>10</v>
      </c>
      <c r="T47" s="1">
        <f t="shared" si="61"/>
        <v>45</v>
      </c>
      <c r="U47" s="1">
        <f t="shared" si="61"/>
        <v>65</v>
      </c>
      <c r="V47" s="1">
        <f t="shared" si="62"/>
        <v>12</v>
      </c>
      <c r="W47" s="1">
        <f t="shared" si="63"/>
        <v>1182572193</v>
      </c>
      <c r="X47" s="1">
        <f t="shared" si="64"/>
        <v>9</v>
      </c>
      <c r="Y47" s="1">
        <f>IF(COUNTIF(X$38:X47,X47)&gt;1,1,0)</f>
        <v>0</v>
      </c>
      <c r="Z47" s="1">
        <f t="shared" si="65"/>
        <v>1182572193</v>
      </c>
      <c r="AA47" s="1">
        <f t="shared" si="66"/>
        <v>9</v>
      </c>
      <c r="AB47" s="1">
        <f>IF(COUNTIF(AA$38:AA47,AA47)&gt;1,1,0)</f>
        <v>0</v>
      </c>
      <c r="AC47" s="1">
        <f t="shared" si="67"/>
        <v>1182572193</v>
      </c>
      <c r="AD47" s="1">
        <f t="shared" si="68"/>
        <v>9</v>
      </c>
      <c r="AE47" s="1">
        <f>IF(COUNTIF(AD$38:AD47,AD47)&gt;1,1,0)</f>
        <v>0</v>
      </c>
      <c r="AF47" s="1">
        <f t="shared" si="69"/>
        <v>1182572193</v>
      </c>
      <c r="AG47" s="1">
        <f t="shared" si="70"/>
        <v>9</v>
      </c>
      <c r="AH47" s="1">
        <f>IF(COUNTIF(AG$38:AG47,AG47)&gt;1,1,0)</f>
        <v>0</v>
      </c>
      <c r="AI47" s="1">
        <f t="shared" si="71"/>
        <v>1182572193</v>
      </c>
      <c r="AJ47" s="1">
        <f t="shared" si="72"/>
        <v>9</v>
      </c>
      <c r="AK47" s="1">
        <f>IF(COUNTIF(AJ$38:AJ47,AJ47)&gt;1,1,0)</f>
        <v>0</v>
      </c>
      <c r="AL47" s="1">
        <f t="shared" si="73"/>
        <v>1182572193</v>
      </c>
      <c r="AM47" s="1">
        <f t="shared" si="74"/>
        <v>9</v>
      </c>
      <c r="AN47" s="1">
        <f>IF(COUNTIF(AM$38:AM47,AM47)&gt;1,1,0)</f>
        <v>0</v>
      </c>
      <c r="AO47" s="1">
        <f t="shared" si="75"/>
        <v>1182572193</v>
      </c>
      <c r="AP47" s="1">
        <f t="shared" si="76"/>
        <v>9</v>
      </c>
      <c r="AQ47" s="1">
        <f>IF(COUNTIF(AP$38:AP47,AP47)&gt;1,1,0)</f>
        <v>0</v>
      </c>
      <c r="AR47" s="1">
        <f t="shared" si="77"/>
        <v>1182572193</v>
      </c>
      <c r="AS47" s="1">
        <f t="shared" si="78"/>
        <v>9</v>
      </c>
      <c r="AT47" s="1">
        <f>IF(COUNTIF(AS$38:AS47,AS47)&gt;1,1,0)</f>
        <v>0</v>
      </c>
      <c r="AU47" s="1">
        <f t="shared" si="79"/>
        <v>1182572193</v>
      </c>
      <c r="AV47" s="1">
        <f t="shared" si="80"/>
        <v>9</v>
      </c>
      <c r="AW47" s="1">
        <f>IF(COUNTIF(AV$38:AV47,AV47)&gt;1,1,0)</f>
        <v>0</v>
      </c>
      <c r="AX47" s="1">
        <f t="shared" si="81"/>
        <v>1182572193</v>
      </c>
      <c r="AY47" s="1">
        <f t="shared" si="82"/>
        <v>9</v>
      </c>
      <c r="AZ47" s="1">
        <f>IF(COUNTIF(AY$38:AY47,AY47)&gt;1,1,0)</f>
        <v>0</v>
      </c>
      <c r="BA47" s="1">
        <f t="shared" si="83"/>
        <v>1182572193</v>
      </c>
      <c r="BB47" s="1">
        <f t="shared" si="84"/>
        <v>9</v>
      </c>
      <c r="BC47" s="1">
        <f>IF(COUNTIF(BB$38:BB47,BB47)&gt;1,1,0)</f>
        <v>0</v>
      </c>
      <c r="BD47" s="1">
        <f t="shared" si="85"/>
        <v>1182572193</v>
      </c>
      <c r="BE47" s="1">
        <f t="shared" si="86"/>
        <v>9</v>
      </c>
      <c r="BF47" s="1"/>
    </row>
    <row r="48" spans="1:58" ht="16.5">
      <c r="A48" t="s">
        <v>4</v>
      </c>
      <c r="B48">
        <v>46</v>
      </c>
      <c r="C48">
        <v>10</v>
      </c>
      <c r="D48" t="str">
        <f>VLOOKUP($C48,'4.Spieltag'!$AD$40:$AK$51,D$1,FALSE)</f>
        <v>1. MKC Duisburg</v>
      </c>
      <c r="E48" t="str">
        <f>VLOOKUP($C48,'4.Spieltag'!$AD$40:$AK$51,E$1,FALSE)</f>
        <v>A</v>
      </c>
      <c r="F48">
        <f>VLOOKUP($C48,'4.Spieltag'!$AD$40:$AK$51,F$1,FALSE)</f>
        <v>0</v>
      </c>
      <c r="G48">
        <f>VLOOKUP($C48,'4.Spieltag'!$AD$40:$AK$51,G$1,FALSE)</f>
        <v>0</v>
      </c>
      <c r="H48">
        <f>VLOOKUP($C48,'4.Spieltag'!$AD$40:$AK$51,H$1,FALSE)</f>
        <v>0</v>
      </c>
      <c r="I48">
        <f>VLOOKUP($C48,'4.Spieltag'!$AD$40:$AK$51,I$1,FALSE)</f>
        <v>0</v>
      </c>
      <c r="J48">
        <f>VLOOKUP($C48,'4.Spieltag'!$AD$40:$AK$51,J$1,FALSE)</f>
        <v>0</v>
      </c>
      <c r="N48" s="1">
        <f t="shared" si="59"/>
        <v>12</v>
      </c>
      <c r="O48" s="1" t="str">
        <f t="shared" si="60"/>
        <v>KSV Glauchau</v>
      </c>
      <c r="P48" s="1" t="str">
        <f>Saisondaten!$C$17</f>
        <v>B</v>
      </c>
      <c r="Q48" s="1">
        <f t="shared" si="61"/>
        <v>0</v>
      </c>
      <c r="R48" s="1">
        <f t="shared" si="61"/>
        <v>1</v>
      </c>
      <c r="S48" s="1">
        <f t="shared" si="61"/>
        <v>15</v>
      </c>
      <c r="T48" s="1">
        <f t="shared" si="61"/>
        <v>30</v>
      </c>
      <c r="U48" s="1">
        <f t="shared" si="61"/>
        <v>89</v>
      </c>
      <c r="V48" s="1">
        <f t="shared" si="62"/>
        <v>1</v>
      </c>
      <c r="W48" s="1">
        <f t="shared" si="63"/>
        <v>47788917</v>
      </c>
      <c r="X48" s="1">
        <f t="shared" si="64"/>
        <v>12</v>
      </c>
      <c r="Y48" s="1">
        <f>IF(COUNTIF(X$38:X48,X48)&gt;1,1,0)</f>
        <v>0</v>
      </c>
      <c r="Z48" s="1">
        <f t="shared" si="65"/>
        <v>47788917</v>
      </c>
      <c r="AA48" s="1">
        <f t="shared" si="66"/>
        <v>12</v>
      </c>
      <c r="AB48" s="1">
        <f>IF(COUNTIF(AA$38:AA48,AA48)&gt;1,1,0)</f>
        <v>0</v>
      </c>
      <c r="AC48" s="1">
        <f t="shared" si="67"/>
        <v>47788917</v>
      </c>
      <c r="AD48" s="1">
        <f t="shared" si="68"/>
        <v>12</v>
      </c>
      <c r="AE48" s="1">
        <f>IF(COUNTIF(AD$38:AD48,AD48)&gt;1,1,0)</f>
        <v>0</v>
      </c>
      <c r="AF48" s="1">
        <f t="shared" si="69"/>
        <v>47788917</v>
      </c>
      <c r="AG48" s="1">
        <f t="shared" si="70"/>
        <v>12</v>
      </c>
      <c r="AH48" s="1">
        <f>IF(COUNTIF(AG$38:AG48,AG48)&gt;1,1,0)</f>
        <v>0</v>
      </c>
      <c r="AI48" s="1">
        <f t="shared" si="71"/>
        <v>47788917</v>
      </c>
      <c r="AJ48" s="1">
        <f t="shared" si="72"/>
        <v>12</v>
      </c>
      <c r="AK48" s="1">
        <f>IF(COUNTIF(AJ$38:AJ48,AJ48)&gt;1,1,0)</f>
        <v>0</v>
      </c>
      <c r="AL48" s="1">
        <f t="shared" si="73"/>
        <v>47788917</v>
      </c>
      <c r="AM48" s="1">
        <f t="shared" si="74"/>
        <v>12</v>
      </c>
      <c r="AN48" s="1">
        <f>IF(COUNTIF(AM$38:AM48,AM48)&gt;1,1,0)</f>
        <v>0</v>
      </c>
      <c r="AO48" s="1">
        <f t="shared" si="75"/>
        <v>47788917</v>
      </c>
      <c r="AP48" s="1">
        <f t="shared" si="76"/>
        <v>12</v>
      </c>
      <c r="AQ48" s="1">
        <f>IF(COUNTIF(AP$38:AP48,AP48)&gt;1,1,0)</f>
        <v>0</v>
      </c>
      <c r="AR48" s="1">
        <f t="shared" si="77"/>
        <v>47788917</v>
      </c>
      <c r="AS48" s="1">
        <f t="shared" si="78"/>
        <v>12</v>
      </c>
      <c r="AT48" s="1">
        <f>IF(COUNTIF(AS$38:AS48,AS48)&gt;1,1,0)</f>
        <v>0</v>
      </c>
      <c r="AU48" s="1">
        <f t="shared" si="79"/>
        <v>47788917</v>
      </c>
      <c r="AV48" s="1">
        <f t="shared" si="80"/>
        <v>12</v>
      </c>
      <c r="AW48" s="1">
        <f>IF(COUNTIF(AV$38:AV48,AV48)&gt;1,1,0)</f>
        <v>0</v>
      </c>
      <c r="AX48" s="1">
        <f t="shared" si="81"/>
        <v>47788917</v>
      </c>
      <c r="AY48" s="1">
        <f t="shared" si="82"/>
        <v>12</v>
      </c>
      <c r="AZ48" s="1">
        <f>IF(COUNTIF(AY$38:AY48,AY48)&gt;1,1,0)</f>
        <v>0</v>
      </c>
      <c r="BA48" s="1">
        <f t="shared" si="83"/>
        <v>47788917</v>
      </c>
      <c r="BB48" s="1">
        <f t="shared" si="84"/>
        <v>12</v>
      </c>
      <c r="BC48" s="1">
        <f>IF(COUNTIF(BB$38:BB48,BB48)&gt;1,1,0)</f>
        <v>0</v>
      </c>
      <c r="BD48" s="1">
        <f t="shared" si="85"/>
        <v>47788917</v>
      </c>
      <c r="BE48" s="1">
        <f t="shared" si="86"/>
        <v>12</v>
      </c>
      <c r="BF48" s="1"/>
    </row>
    <row r="49" spans="1:58" ht="16.5">
      <c r="A49" t="s">
        <v>4</v>
      </c>
      <c r="B49">
        <v>47</v>
      </c>
      <c r="C49">
        <v>11</v>
      </c>
      <c r="D49" t="str">
        <f>VLOOKUP($C49,'4.Spieltag'!$AD$40:$AK$51,D$1,FALSE)</f>
        <v>WSF Liblar</v>
      </c>
      <c r="E49" t="str">
        <f>VLOOKUP($C49,'4.Spieltag'!$AD$40:$AK$51,E$1,FALSE)</f>
        <v>A</v>
      </c>
      <c r="F49">
        <f>VLOOKUP($C49,'4.Spieltag'!$AD$40:$AK$51,F$1,FALSE)</f>
        <v>0</v>
      </c>
      <c r="G49">
        <f>VLOOKUP($C49,'4.Spieltag'!$AD$40:$AK$51,G$1,FALSE)</f>
        <v>0</v>
      </c>
      <c r="H49">
        <f>VLOOKUP($C49,'4.Spieltag'!$AD$40:$AK$51,H$1,FALSE)</f>
        <v>0</v>
      </c>
      <c r="I49">
        <f>VLOOKUP($C49,'4.Spieltag'!$AD$40:$AK$51,I$1,FALSE)</f>
        <v>0</v>
      </c>
      <c r="J49">
        <f>VLOOKUP($C49,'4.Spieltag'!$AD$40:$AK$51,J$1,FALSE)</f>
        <v>0</v>
      </c>
      <c r="N49" s="1">
        <f t="shared" si="59"/>
        <v>5</v>
      </c>
      <c r="O49" s="1" t="str">
        <f t="shared" si="60"/>
        <v>KSVH Berlin</v>
      </c>
      <c r="P49" s="1" t="str">
        <f>Saisondaten!$C$17</f>
        <v>B</v>
      </c>
      <c r="Q49" s="1">
        <f t="shared" si="61"/>
        <v>9</v>
      </c>
      <c r="R49" s="1">
        <f t="shared" si="61"/>
        <v>3</v>
      </c>
      <c r="S49" s="1">
        <f t="shared" si="61"/>
        <v>4</v>
      </c>
      <c r="T49" s="1">
        <f t="shared" si="61"/>
        <v>65</v>
      </c>
      <c r="U49" s="1">
        <f t="shared" si="61"/>
        <v>44</v>
      </c>
      <c r="V49" s="1">
        <f t="shared" si="62"/>
        <v>30</v>
      </c>
      <c r="W49" s="1">
        <f t="shared" si="63"/>
        <v>3019172123</v>
      </c>
      <c r="X49" s="1">
        <f t="shared" si="64"/>
        <v>5</v>
      </c>
      <c r="Y49" s="1">
        <f>IF(COUNTIF(X$38:X49,X49)&gt;1,1,0)</f>
        <v>0</v>
      </c>
      <c r="Z49" s="1">
        <f t="shared" si="65"/>
        <v>3019172123</v>
      </c>
      <c r="AA49" s="1">
        <f t="shared" si="66"/>
        <v>5</v>
      </c>
      <c r="AB49" s="1">
        <f>IF(COUNTIF(AA$38:AA49,AA49)&gt;1,1,0)</f>
        <v>0</v>
      </c>
      <c r="AC49" s="1">
        <f t="shared" si="67"/>
        <v>3019172123</v>
      </c>
      <c r="AD49" s="1">
        <f t="shared" si="68"/>
        <v>5</v>
      </c>
      <c r="AE49" s="1">
        <f>IF(COUNTIF(AD$38:AD49,AD49)&gt;1,1,0)</f>
        <v>0</v>
      </c>
      <c r="AF49" s="1">
        <f t="shared" si="69"/>
        <v>3019172123</v>
      </c>
      <c r="AG49" s="1">
        <f t="shared" si="70"/>
        <v>5</v>
      </c>
      <c r="AH49" s="1">
        <f>IF(COUNTIF(AG$38:AG49,AG49)&gt;1,1,0)</f>
        <v>0</v>
      </c>
      <c r="AI49" s="1">
        <f t="shared" si="71"/>
        <v>3019172123</v>
      </c>
      <c r="AJ49" s="1">
        <f t="shared" si="72"/>
        <v>5</v>
      </c>
      <c r="AK49" s="1">
        <f>IF(COUNTIF(AJ$38:AJ49,AJ49)&gt;1,1,0)</f>
        <v>0</v>
      </c>
      <c r="AL49" s="1">
        <f t="shared" si="73"/>
        <v>3019172123</v>
      </c>
      <c r="AM49" s="1">
        <f t="shared" si="74"/>
        <v>5</v>
      </c>
      <c r="AN49" s="1">
        <f>IF(COUNTIF(AM$38:AM49,AM49)&gt;1,1,0)</f>
        <v>0</v>
      </c>
      <c r="AO49" s="1">
        <f t="shared" si="75"/>
        <v>3019172123</v>
      </c>
      <c r="AP49" s="1">
        <f t="shared" si="76"/>
        <v>5</v>
      </c>
      <c r="AQ49" s="1">
        <f>IF(COUNTIF(AP$38:AP49,AP49)&gt;1,1,0)</f>
        <v>0</v>
      </c>
      <c r="AR49" s="1">
        <f t="shared" si="77"/>
        <v>3019172123</v>
      </c>
      <c r="AS49" s="1">
        <f t="shared" si="78"/>
        <v>5</v>
      </c>
      <c r="AT49" s="1">
        <f>IF(COUNTIF(AS$38:AS49,AS49)&gt;1,1,0)</f>
        <v>0</v>
      </c>
      <c r="AU49" s="1">
        <f t="shared" si="79"/>
        <v>3019172123</v>
      </c>
      <c r="AV49" s="1">
        <f t="shared" si="80"/>
        <v>5</v>
      </c>
      <c r="AW49" s="1">
        <f>IF(COUNTIF(AV$38:AV49,AV49)&gt;1,1,0)</f>
        <v>0</v>
      </c>
      <c r="AX49" s="1">
        <f t="shared" si="81"/>
        <v>3019172123</v>
      </c>
      <c r="AY49" s="1">
        <f t="shared" si="82"/>
        <v>5</v>
      </c>
      <c r="AZ49" s="1">
        <f>IF(COUNTIF(AY$38:AY49,AY49)&gt;1,1,0)</f>
        <v>0</v>
      </c>
      <c r="BA49" s="1">
        <f t="shared" si="83"/>
        <v>3019172123</v>
      </c>
      <c r="BB49" s="1">
        <f t="shared" si="84"/>
        <v>5</v>
      </c>
      <c r="BC49" s="1">
        <f>IF(COUNTIF(BB$38:BB49,BB49)&gt;1,1,0)</f>
        <v>0</v>
      </c>
      <c r="BD49" s="1">
        <f t="shared" si="85"/>
        <v>3019172123</v>
      </c>
      <c r="BE49" s="1">
        <f t="shared" si="86"/>
        <v>5</v>
      </c>
      <c r="BF49" s="1"/>
    </row>
    <row r="50" spans="1:17" ht="16.5">
      <c r="A50" t="s">
        <v>4</v>
      </c>
      <c r="B50">
        <v>48</v>
      </c>
      <c r="C50">
        <v>12</v>
      </c>
      <c r="D50" t="str">
        <f>VLOOKUP($C50,'4.Spieltag'!$AD$40:$AK$51,D$1,FALSE)</f>
        <v>KRM Essen</v>
      </c>
      <c r="E50" t="str">
        <f>VLOOKUP($C50,'4.Spieltag'!$AD$40:$AK$51,E$1,FALSE)</f>
        <v>A</v>
      </c>
      <c r="F50">
        <f>VLOOKUP($C50,'4.Spieltag'!$AD$40:$AK$51,F$1,FALSE)</f>
        <v>0</v>
      </c>
      <c r="G50">
        <f>VLOOKUP($C50,'4.Spieltag'!$AD$40:$AK$51,G$1,FALSE)</f>
        <v>0</v>
      </c>
      <c r="H50">
        <f>VLOOKUP($C50,'4.Spieltag'!$AD$40:$AK$51,H$1,FALSE)</f>
        <v>0</v>
      </c>
      <c r="I50">
        <f>VLOOKUP($C50,'4.Spieltag'!$AD$40:$AK$51,I$1,FALSE)</f>
        <v>0</v>
      </c>
      <c r="J50">
        <f>VLOOKUP($C50,'4.Spieltag'!$AD$40:$AK$51,J$1,FALSE)</f>
        <v>0</v>
      </c>
      <c r="Q50" s="62">
        <f>SUM(Q38:S49)</f>
        <v>192</v>
      </c>
    </row>
    <row r="51" spans="1:10" ht="15">
      <c r="A51" t="s">
        <v>63</v>
      </c>
      <c r="B51">
        <v>49</v>
      </c>
      <c r="C51">
        <v>1</v>
      </c>
      <c r="D51" t="str">
        <f>VLOOKUP($C51,$N$6:$U$17,D$1,FALSE)</f>
        <v>KRM Essen</v>
      </c>
      <c r="E51" t="str">
        <f aca="true" t="shared" si="87" ref="E51:J51">VLOOKUP($C51,$N$6:$U$17,E$1,FALSE)</f>
        <v>A</v>
      </c>
      <c r="F51">
        <f t="shared" si="87"/>
        <v>9</v>
      </c>
      <c r="G51">
        <f t="shared" si="87"/>
        <v>1</v>
      </c>
      <c r="H51">
        <f t="shared" si="87"/>
        <v>1</v>
      </c>
      <c r="I51">
        <f t="shared" si="87"/>
        <v>63</v>
      </c>
      <c r="J51">
        <f t="shared" si="87"/>
        <v>26</v>
      </c>
    </row>
    <row r="52" spans="1:14" ht="15">
      <c r="A52" t="s">
        <v>63</v>
      </c>
      <c r="B52">
        <v>50</v>
      </c>
      <c r="C52">
        <v>2</v>
      </c>
      <c r="D52" t="str">
        <f aca="true" t="shared" si="88" ref="D52:J62">VLOOKUP($C52,$N$6:$U$17,D$1,FALSE)</f>
        <v>WSF Liblar</v>
      </c>
      <c r="E52" t="str">
        <f t="shared" si="88"/>
        <v>A</v>
      </c>
      <c r="F52">
        <f t="shared" si="88"/>
        <v>9</v>
      </c>
      <c r="G52">
        <f t="shared" si="88"/>
        <v>1</v>
      </c>
      <c r="H52">
        <f t="shared" si="88"/>
        <v>1</v>
      </c>
      <c r="I52">
        <f t="shared" si="88"/>
        <v>45</v>
      </c>
      <c r="J52">
        <f t="shared" si="88"/>
        <v>25</v>
      </c>
      <c r="N52" t="s">
        <v>75</v>
      </c>
    </row>
    <row r="53" spans="1:57" ht="16.5">
      <c r="A53" t="s">
        <v>63</v>
      </c>
      <c r="B53">
        <v>51</v>
      </c>
      <c r="C53">
        <v>3</v>
      </c>
      <c r="D53" t="str">
        <f t="shared" si="88"/>
        <v>RSV Hannover</v>
      </c>
      <c r="E53" t="str">
        <f t="shared" si="88"/>
        <v>B</v>
      </c>
      <c r="F53">
        <f t="shared" si="88"/>
        <v>7</v>
      </c>
      <c r="G53">
        <f t="shared" si="88"/>
        <v>1</v>
      </c>
      <c r="H53">
        <f t="shared" si="88"/>
        <v>3</v>
      </c>
      <c r="I53">
        <f t="shared" si="88"/>
        <v>41</v>
      </c>
      <c r="J53">
        <f t="shared" si="88"/>
        <v>27</v>
      </c>
      <c r="N53" s="1" t="s">
        <v>70</v>
      </c>
      <c r="O53" s="63" t="s">
        <v>45</v>
      </c>
      <c r="P53" s="1" t="s">
        <v>8</v>
      </c>
      <c r="Q53" s="1" t="s">
        <v>54</v>
      </c>
      <c r="R53" s="1" t="s">
        <v>47</v>
      </c>
      <c r="S53" s="1" t="s">
        <v>53</v>
      </c>
      <c r="T53" s="1" t="s">
        <v>50</v>
      </c>
      <c r="U53" s="1" t="s">
        <v>23</v>
      </c>
      <c r="V53" s="1" t="s">
        <v>69</v>
      </c>
      <c r="W53" s="349" t="s">
        <v>71</v>
      </c>
      <c r="X53" s="349"/>
      <c r="Y53" s="349"/>
      <c r="Z53" s="34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6.5">
      <c r="A54" t="s">
        <v>63</v>
      </c>
      <c r="B54">
        <v>52</v>
      </c>
      <c r="C54">
        <v>4</v>
      </c>
      <c r="D54" t="str">
        <f t="shared" si="88"/>
        <v>ACC Hamburg</v>
      </c>
      <c r="E54" t="str">
        <f t="shared" si="88"/>
        <v>B</v>
      </c>
      <c r="F54">
        <f t="shared" si="88"/>
        <v>7</v>
      </c>
      <c r="G54">
        <f t="shared" si="88"/>
        <v>1</v>
      </c>
      <c r="H54">
        <f t="shared" si="88"/>
        <v>3</v>
      </c>
      <c r="I54">
        <f t="shared" si="88"/>
        <v>44</v>
      </c>
      <c r="J54">
        <f t="shared" si="88"/>
        <v>33</v>
      </c>
      <c r="N54" s="1">
        <f>RANK(BD54,$BD$54:$BD$65,0)</f>
        <v>1</v>
      </c>
      <c r="O54" s="1" t="str">
        <f>O38</f>
        <v>KRM Essen</v>
      </c>
      <c r="P54" s="1" t="str">
        <f>Saisondaten!$B$17</f>
        <v>A</v>
      </c>
      <c r="Q54" s="1">
        <f>VLOOKUP($O54,$O$6:$U$17,Q$4,FALSE)+VLOOKUP($O54,$D$27:$J$38,Q$4,FALSE)</f>
        <v>13</v>
      </c>
      <c r="R54" s="1">
        <f aca="true" t="shared" si="89" ref="R54:U65">VLOOKUP($O54,$O$6:$U$17,R$4,FALSE)+VLOOKUP($O54,$D$27:$J$38,R$4,FALSE)</f>
        <v>2</v>
      </c>
      <c r="S54" s="1">
        <f t="shared" si="89"/>
        <v>1</v>
      </c>
      <c r="T54" s="1">
        <f t="shared" si="89"/>
        <v>86</v>
      </c>
      <c r="U54" s="1">
        <f t="shared" si="89"/>
        <v>33</v>
      </c>
      <c r="V54" s="1">
        <f>Q54*3+R54*1</f>
        <v>41</v>
      </c>
      <c r="W54" s="1">
        <f>V54*99999999+(T54-U54)*888888+T54*7777</f>
        <v>4147779845</v>
      </c>
      <c r="X54" s="1">
        <f>RANK(W54,W$54:W$65,0)</f>
        <v>1</v>
      </c>
      <c r="Y54" s="1">
        <f>IF(COUNTIF(X$54:X54,X54)&gt;1,1,0)</f>
        <v>0</v>
      </c>
      <c r="Z54" s="1">
        <f>Y54+W54</f>
        <v>4147779845</v>
      </c>
      <c r="AA54" s="1">
        <f>RANK(Z54,Z$54:Z$65,0)</f>
        <v>1</v>
      </c>
      <c r="AB54" s="1">
        <f>IF(COUNTIF(AA$54:AA54,AA54)&gt;1,1,0)</f>
        <v>0</v>
      </c>
      <c r="AC54" s="1">
        <f>AB54+Z54</f>
        <v>4147779845</v>
      </c>
      <c r="AD54" s="1">
        <f>RANK(AC54,AC$54:AC$65,0)</f>
        <v>1</v>
      </c>
      <c r="AE54" s="1">
        <f>IF(COUNTIF(AD$54:AD54,AD54)&gt;1,1,0)</f>
        <v>0</v>
      </c>
      <c r="AF54" s="1">
        <f>AE54+AC54</f>
        <v>4147779845</v>
      </c>
      <c r="AG54" s="1">
        <f>RANK(AF54,AF$54:AF$65,0)</f>
        <v>1</v>
      </c>
      <c r="AH54" s="1">
        <f>IF(COUNTIF(AG$54:AG54,AG54)&gt;1,1,0)</f>
        <v>0</v>
      </c>
      <c r="AI54" s="1">
        <f>AH54+AF54</f>
        <v>4147779845</v>
      </c>
      <c r="AJ54" s="1">
        <f>RANK(AI54,AI$54:AI$65,0)</f>
        <v>1</v>
      </c>
      <c r="AK54" s="1">
        <f>IF(COUNTIF(AJ$54:AJ54,AJ54)&gt;1,1,0)</f>
        <v>0</v>
      </c>
      <c r="AL54" s="1">
        <f>AK54+AI54</f>
        <v>4147779845</v>
      </c>
      <c r="AM54" s="1">
        <f>RANK(AL54,AL$54:AL$65,0)</f>
        <v>1</v>
      </c>
      <c r="AN54" s="1">
        <f>IF(COUNTIF(AM$54:AM54,AM54)&gt;1,1,0)</f>
        <v>0</v>
      </c>
      <c r="AO54" s="1">
        <f>AN54+AL54</f>
        <v>4147779845</v>
      </c>
      <c r="AP54" s="1">
        <f>RANK(AO54,AO$54:AO$65,0)</f>
        <v>1</v>
      </c>
      <c r="AQ54" s="1">
        <f>IF(COUNTIF(AP$54:AP54,AP54)&gt;1,1,0)</f>
        <v>0</v>
      </c>
      <c r="AR54" s="1">
        <f>AQ54+AO54</f>
        <v>4147779845</v>
      </c>
      <c r="AS54" s="1">
        <f>RANK(AR54,AR$54:AR$65,0)</f>
        <v>1</v>
      </c>
      <c r="AT54" s="1">
        <f>IF(COUNTIF(AS$54:AS54,AS54)&gt;1,1,0)</f>
        <v>0</v>
      </c>
      <c r="AU54" s="1">
        <f>AT54+AR54</f>
        <v>4147779845</v>
      </c>
      <c r="AV54" s="1">
        <f>RANK(AU54,AU$54:AU$65,0)</f>
        <v>1</v>
      </c>
      <c r="AW54" s="1">
        <f>IF(COUNTIF(AV$54:AV54,AV54)&gt;1,1,0)</f>
        <v>0</v>
      </c>
      <c r="AX54" s="1">
        <f>AW54+AU54</f>
        <v>4147779845</v>
      </c>
      <c r="AY54" s="1">
        <f>RANK(AX54,AX$54:AX$65,0)</f>
        <v>1</v>
      </c>
      <c r="AZ54" s="1">
        <f>IF(COUNTIF(AY$54:AY54,AY54)&gt;1,1,0)</f>
        <v>0</v>
      </c>
      <c r="BA54" s="1">
        <f>AZ54+AX54</f>
        <v>4147779845</v>
      </c>
      <c r="BB54" s="1">
        <f>RANK(BA54,BA$54:BA$65,0)</f>
        <v>1</v>
      </c>
      <c r="BC54" s="1">
        <f>IF(COUNTIF(BB$54:BB54,BB54)&gt;1,1,0)</f>
        <v>0</v>
      </c>
      <c r="BD54" s="1">
        <f>BC54+BA54</f>
        <v>4147779845</v>
      </c>
      <c r="BE54" s="1">
        <f>RANK(BD54,BD$54:BD$65,0)</f>
        <v>1</v>
      </c>
    </row>
    <row r="55" spans="1:57" ht="16.5">
      <c r="A55" t="s">
        <v>63</v>
      </c>
      <c r="B55">
        <v>53</v>
      </c>
      <c r="C55">
        <v>5</v>
      </c>
      <c r="D55" t="str">
        <f t="shared" si="88"/>
        <v>KCNW Berlin</v>
      </c>
      <c r="E55" t="str">
        <f t="shared" si="88"/>
        <v>B</v>
      </c>
      <c r="F55">
        <f t="shared" si="88"/>
        <v>6</v>
      </c>
      <c r="G55">
        <f t="shared" si="88"/>
        <v>1</v>
      </c>
      <c r="H55">
        <f t="shared" si="88"/>
        <v>4</v>
      </c>
      <c r="I55">
        <f t="shared" si="88"/>
        <v>36</v>
      </c>
      <c r="J55">
        <f t="shared" si="88"/>
        <v>27</v>
      </c>
      <c r="N55" s="1">
        <f aca="true" t="shared" si="90" ref="N55:N65">RANK(BD55,$BD$54:$BD$65,0)</f>
        <v>2</v>
      </c>
      <c r="O55" s="1" t="str">
        <f aca="true" t="shared" si="91" ref="O55:O65">O39</f>
        <v>WSF Liblar</v>
      </c>
      <c r="P55" s="1" t="str">
        <f>Saisondaten!$B$17</f>
        <v>A</v>
      </c>
      <c r="Q55" s="1">
        <f aca="true" t="shared" si="92" ref="Q55:Q65">VLOOKUP($O55,$O$6:$U$17,Q$4,FALSE)+VLOOKUP($O55,$D$27:$J$38,Q$4,FALSE)</f>
        <v>13</v>
      </c>
      <c r="R55" s="1">
        <f t="shared" si="89"/>
        <v>2</v>
      </c>
      <c r="S55" s="1">
        <f t="shared" si="89"/>
        <v>1</v>
      </c>
      <c r="T55" s="1">
        <f t="shared" si="89"/>
        <v>65</v>
      </c>
      <c r="U55" s="1">
        <f t="shared" si="89"/>
        <v>34</v>
      </c>
      <c r="V55" s="1">
        <f aca="true" t="shared" si="93" ref="V55:V65">Q55*3+R55*1</f>
        <v>41</v>
      </c>
      <c r="W55" s="1">
        <f aca="true" t="shared" si="94" ref="W55:W65">V55*99999999+(T55-U55)*888888+T55*7777</f>
        <v>4128060992</v>
      </c>
      <c r="X55" s="1">
        <f aca="true" t="shared" si="95" ref="X55:X65">RANK(W55,W$54:W$65,0)</f>
        <v>2</v>
      </c>
      <c r="Y55" s="1">
        <f>IF(COUNTIF(X$54:X55,X55)&gt;1,1,0)</f>
        <v>0</v>
      </c>
      <c r="Z55" s="1">
        <f aca="true" t="shared" si="96" ref="Z55:Z65">Y55+W55</f>
        <v>4128060992</v>
      </c>
      <c r="AA55" s="1">
        <f aca="true" t="shared" si="97" ref="AA55:AA65">RANK(Z55,Z$54:Z$65,0)</f>
        <v>2</v>
      </c>
      <c r="AB55" s="1">
        <f>IF(COUNTIF(AA$54:AA55,AA55)&gt;1,1,0)</f>
        <v>0</v>
      </c>
      <c r="AC55" s="1">
        <f aca="true" t="shared" si="98" ref="AC55:AC65">AB55+Z55</f>
        <v>4128060992</v>
      </c>
      <c r="AD55" s="1">
        <f aca="true" t="shared" si="99" ref="AD55:AD65">RANK(AC55,AC$54:AC$65,0)</f>
        <v>2</v>
      </c>
      <c r="AE55" s="1">
        <f>IF(COUNTIF(AD$54:AD55,AD55)&gt;1,1,0)</f>
        <v>0</v>
      </c>
      <c r="AF55" s="1">
        <f aca="true" t="shared" si="100" ref="AF55:AF65">AE55+AC55</f>
        <v>4128060992</v>
      </c>
      <c r="AG55" s="1">
        <f aca="true" t="shared" si="101" ref="AG55:AG65">RANK(AF55,AF$54:AF$65,0)</f>
        <v>2</v>
      </c>
      <c r="AH55" s="1">
        <f>IF(COUNTIF(AG$54:AG55,AG55)&gt;1,1,0)</f>
        <v>0</v>
      </c>
      <c r="AI55" s="1">
        <f aca="true" t="shared" si="102" ref="AI55:AI65">AH55+AF55</f>
        <v>4128060992</v>
      </c>
      <c r="AJ55" s="1">
        <f aca="true" t="shared" si="103" ref="AJ55:AJ65">RANK(AI55,AI$54:AI$65,0)</f>
        <v>2</v>
      </c>
      <c r="AK55" s="1">
        <f>IF(COUNTIF(AJ$54:AJ55,AJ55)&gt;1,1,0)</f>
        <v>0</v>
      </c>
      <c r="AL55" s="1">
        <f aca="true" t="shared" si="104" ref="AL55:AL65">AK55+AI55</f>
        <v>4128060992</v>
      </c>
      <c r="AM55" s="1">
        <f aca="true" t="shared" si="105" ref="AM55:AM65">RANK(AL55,AL$54:AL$65,0)</f>
        <v>2</v>
      </c>
      <c r="AN55" s="1">
        <f>IF(COUNTIF(AM$54:AM55,AM55)&gt;1,1,0)</f>
        <v>0</v>
      </c>
      <c r="AO55" s="1">
        <f aca="true" t="shared" si="106" ref="AO55:AO65">AN55+AL55</f>
        <v>4128060992</v>
      </c>
      <c r="AP55" s="1">
        <f aca="true" t="shared" si="107" ref="AP55:AP65">RANK(AO55,AO$54:AO$65,0)</f>
        <v>2</v>
      </c>
      <c r="AQ55" s="1">
        <f>IF(COUNTIF(AP$54:AP55,AP55)&gt;1,1,0)</f>
        <v>0</v>
      </c>
      <c r="AR55" s="1">
        <f aca="true" t="shared" si="108" ref="AR55:AR65">AQ55+AO55</f>
        <v>4128060992</v>
      </c>
      <c r="AS55" s="1">
        <f aca="true" t="shared" si="109" ref="AS55:AS65">RANK(AR55,AR$54:AR$65,0)</f>
        <v>2</v>
      </c>
      <c r="AT55" s="1">
        <f>IF(COUNTIF(AS$54:AS55,AS55)&gt;1,1,0)</f>
        <v>0</v>
      </c>
      <c r="AU55" s="1">
        <f aca="true" t="shared" si="110" ref="AU55:AU65">AT55+AR55</f>
        <v>4128060992</v>
      </c>
      <c r="AV55" s="1">
        <f aca="true" t="shared" si="111" ref="AV55:AV65">RANK(AU55,AU$54:AU$65,0)</f>
        <v>2</v>
      </c>
      <c r="AW55" s="1">
        <f>IF(COUNTIF(AV$54:AV55,AV55)&gt;1,1,0)</f>
        <v>0</v>
      </c>
      <c r="AX55" s="1">
        <f aca="true" t="shared" si="112" ref="AX55:AX65">AW55+AU55</f>
        <v>4128060992</v>
      </c>
      <c r="AY55" s="1">
        <f aca="true" t="shared" si="113" ref="AY55:AY65">RANK(AX55,AX$54:AX$65,0)</f>
        <v>2</v>
      </c>
      <c r="AZ55" s="1">
        <f>IF(COUNTIF(AY$54:AY55,AY55)&gt;1,1,0)</f>
        <v>0</v>
      </c>
      <c r="BA55" s="1">
        <f aca="true" t="shared" si="114" ref="BA55:BA65">AZ55+AX55</f>
        <v>4128060992</v>
      </c>
      <c r="BB55" s="1">
        <f aca="true" t="shared" si="115" ref="BB55:BB65">RANK(BA55,BA$54:BA$65,0)</f>
        <v>2</v>
      </c>
      <c r="BC55" s="1">
        <f>IF(COUNTIF(BB$54:BB55,BB55)&gt;1,1,0)</f>
        <v>0</v>
      </c>
      <c r="BD55" s="1">
        <f aca="true" t="shared" si="116" ref="BD55:BD65">BC55+BA55</f>
        <v>4128060992</v>
      </c>
      <c r="BE55" s="1">
        <f aca="true" t="shared" si="117" ref="BE55:BE65">RANK(BD55,BD$54:BD$65,0)</f>
        <v>2</v>
      </c>
    </row>
    <row r="56" spans="1:57" ht="16.5">
      <c r="A56" t="s">
        <v>63</v>
      </c>
      <c r="B56">
        <v>54</v>
      </c>
      <c r="C56">
        <v>6</v>
      </c>
      <c r="D56" t="str">
        <f t="shared" si="88"/>
        <v>KSVH Berlin</v>
      </c>
      <c r="E56" t="str">
        <f t="shared" si="88"/>
        <v>B</v>
      </c>
      <c r="F56">
        <f t="shared" si="88"/>
        <v>6</v>
      </c>
      <c r="G56">
        <f t="shared" si="88"/>
        <v>1</v>
      </c>
      <c r="H56">
        <f t="shared" si="88"/>
        <v>4</v>
      </c>
      <c r="I56">
        <f t="shared" si="88"/>
        <v>41</v>
      </c>
      <c r="J56">
        <f t="shared" si="88"/>
        <v>35</v>
      </c>
      <c r="N56" s="1">
        <f t="shared" si="90"/>
        <v>6</v>
      </c>
      <c r="O56" s="1" t="str">
        <f t="shared" si="91"/>
        <v>1. MKC Duisburg</v>
      </c>
      <c r="P56" s="1" t="str">
        <f>Saisondaten!$B$17</f>
        <v>A</v>
      </c>
      <c r="Q56" s="1">
        <f t="shared" si="92"/>
        <v>7</v>
      </c>
      <c r="R56" s="1">
        <f t="shared" si="89"/>
        <v>4</v>
      </c>
      <c r="S56" s="1">
        <f t="shared" si="89"/>
        <v>5</v>
      </c>
      <c r="T56" s="1">
        <f t="shared" si="89"/>
        <v>56</v>
      </c>
      <c r="U56" s="1">
        <f t="shared" si="89"/>
        <v>41</v>
      </c>
      <c r="V56" s="1">
        <f t="shared" si="93"/>
        <v>25</v>
      </c>
      <c r="W56" s="1">
        <f t="shared" si="94"/>
        <v>2513768807</v>
      </c>
      <c r="X56" s="1">
        <f t="shared" si="95"/>
        <v>6</v>
      </c>
      <c r="Y56" s="1">
        <f>IF(COUNTIF(X$54:X56,X56)&gt;1,1,0)</f>
        <v>0</v>
      </c>
      <c r="Z56" s="1">
        <f t="shared" si="96"/>
        <v>2513768807</v>
      </c>
      <c r="AA56" s="1">
        <f t="shared" si="97"/>
        <v>6</v>
      </c>
      <c r="AB56" s="1">
        <f>IF(COUNTIF(AA$54:AA56,AA56)&gt;1,1,0)</f>
        <v>0</v>
      </c>
      <c r="AC56" s="1">
        <f t="shared" si="98"/>
        <v>2513768807</v>
      </c>
      <c r="AD56" s="1">
        <f t="shared" si="99"/>
        <v>6</v>
      </c>
      <c r="AE56" s="1">
        <f>IF(COUNTIF(AD$54:AD56,AD56)&gt;1,1,0)</f>
        <v>0</v>
      </c>
      <c r="AF56" s="1">
        <f t="shared" si="100"/>
        <v>2513768807</v>
      </c>
      <c r="AG56" s="1">
        <f t="shared" si="101"/>
        <v>6</v>
      </c>
      <c r="AH56" s="1">
        <f>IF(COUNTIF(AG$54:AG56,AG56)&gt;1,1,0)</f>
        <v>0</v>
      </c>
      <c r="AI56" s="1">
        <f t="shared" si="102"/>
        <v>2513768807</v>
      </c>
      <c r="AJ56" s="1">
        <f t="shared" si="103"/>
        <v>6</v>
      </c>
      <c r="AK56" s="1">
        <f>IF(COUNTIF(AJ$54:AJ56,AJ56)&gt;1,1,0)</f>
        <v>0</v>
      </c>
      <c r="AL56" s="1">
        <f t="shared" si="104"/>
        <v>2513768807</v>
      </c>
      <c r="AM56" s="1">
        <f t="shared" si="105"/>
        <v>6</v>
      </c>
      <c r="AN56" s="1">
        <f>IF(COUNTIF(AM$54:AM56,AM56)&gt;1,1,0)</f>
        <v>0</v>
      </c>
      <c r="AO56" s="1">
        <f t="shared" si="106"/>
        <v>2513768807</v>
      </c>
      <c r="AP56" s="1">
        <f t="shared" si="107"/>
        <v>6</v>
      </c>
      <c r="AQ56" s="1">
        <f>IF(COUNTIF(AP$54:AP56,AP56)&gt;1,1,0)</f>
        <v>0</v>
      </c>
      <c r="AR56" s="1">
        <f t="shared" si="108"/>
        <v>2513768807</v>
      </c>
      <c r="AS56" s="1">
        <f t="shared" si="109"/>
        <v>6</v>
      </c>
      <c r="AT56" s="1">
        <f>IF(COUNTIF(AS$54:AS56,AS56)&gt;1,1,0)</f>
        <v>0</v>
      </c>
      <c r="AU56" s="1">
        <f t="shared" si="110"/>
        <v>2513768807</v>
      </c>
      <c r="AV56" s="1">
        <f t="shared" si="111"/>
        <v>6</v>
      </c>
      <c r="AW56" s="1">
        <f>IF(COUNTIF(AV$54:AV56,AV56)&gt;1,1,0)</f>
        <v>0</v>
      </c>
      <c r="AX56" s="1">
        <f t="shared" si="112"/>
        <v>2513768807</v>
      </c>
      <c r="AY56" s="1">
        <f t="shared" si="113"/>
        <v>6</v>
      </c>
      <c r="AZ56" s="1">
        <f>IF(COUNTIF(AY$54:AY56,AY56)&gt;1,1,0)</f>
        <v>0</v>
      </c>
      <c r="BA56" s="1">
        <f t="shared" si="114"/>
        <v>2513768807</v>
      </c>
      <c r="BB56" s="1">
        <f t="shared" si="115"/>
        <v>6</v>
      </c>
      <c r="BC56" s="1">
        <f>IF(COUNTIF(BB$54:BB56,BB56)&gt;1,1,0)</f>
        <v>0</v>
      </c>
      <c r="BD56" s="1">
        <f t="shared" si="116"/>
        <v>2513768807</v>
      </c>
      <c r="BE56" s="1">
        <f t="shared" si="117"/>
        <v>6</v>
      </c>
    </row>
    <row r="57" spans="1:57" ht="16.5">
      <c r="A57" t="s">
        <v>63</v>
      </c>
      <c r="B57">
        <v>55</v>
      </c>
      <c r="C57">
        <v>7</v>
      </c>
      <c r="D57" t="str">
        <f t="shared" si="88"/>
        <v>1. MKC Duisburg</v>
      </c>
      <c r="E57" t="str">
        <f t="shared" si="88"/>
        <v>A</v>
      </c>
      <c r="F57">
        <f t="shared" si="88"/>
        <v>5</v>
      </c>
      <c r="G57">
        <f t="shared" si="88"/>
        <v>3</v>
      </c>
      <c r="H57">
        <f t="shared" si="88"/>
        <v>3</v>
      </c>
      <c r="I57">
        <f t="shared" si="88"/>
        <v>42</v>
      </c>
      <c r="J57">
        <f t="shared" si="88"/>
        <v>31</v>
      </c>
      <c r="N57" s="1">
        <f t="shared" si="90"/>
        <v>10</v>
      </c>
      <c r="O57" s="1" t="str">
        <f t="shared" si="91"/>
        <v>KC Wetter</v>
      </c>
      <c r="P57" s="1" t="str">
        <f>Saisondaten!$B$17</f>
        <v>A</v>
      </c>
      <c r="Q57" s="1">
        <f t="shared" si="92"/>
        <v>2</v>
      </c>
      <c r="R57" s="1">
        <f t="shared" si="89"/>
        <v>4</v>
      </c>
      <c r="S57" s="1">
        <f t="shared" si="89"/>
        <v>10</v>
      </c>
      <c r="T57" s="1">
        <f t="shared" si="89"/>
        <v>41</v>
      </c>
      <c r="U57" s="1">
        <f t="shared" si="89"/>
        <v>78</v>
      </c>
      <c r="V57" s="1">
        <f t="shared" si="93"/>
        <v>10</v>
      </c>
      <c r="W57" s="1">
        <f t="shared" si="94"/>
        <v>967429991</v>
      </c>
      <c r="X57" s="1">
        <f t="shared" si="95"/>
        <v>10</v>
      </c>
      <c r="Y57" s="1">
        <f>IF(COUNTIF(X$54:X57,X57)&gt;1,1,0)</f>
        <v>0</v>
      </c>
      <c r="Z57" s="1">
        <f t="shared" si="96"/>
        <v>967429991</v>
      </c>
      <c r="AA57" s="1">
        <f t="shared" si="97"/>
        <v>10</v>
      </c>
      <c r="AB57" s="1">
        <f>IF(COUNTIF(AA$54:AA57,AA57)&gt;1,1,0)</f>
        <v>0</v>
      </c>
      <c r="AC57" s="1">
        <f t="shared" si="98"/>
        <v>967429991</v>
      </c>
      <c r="AD57" s="1">
        <f t="shared" si="99"/>
        <v>10</v>
      </c>
      <c r="AE57" s="1">
        <f>IF(COUNTIF(AD$54:AD57,AD57)&gt;1,1,0)</f>
        <v>0</v>
      </c>
      <c r="AF57" s="1">
        <f t="shared" si="100"/>
        <v>967429991</v>
      </c>
      <c r="AG57" s="1">
        <f t="shared" si="101"/>
        <v>10</v>
      </c>
      <c r="AH57" s="1">
        <f>IF(COUNTIF(AG$54:AG57,AG57)&gt;1,1,0)</f>
        <v>0</v>
      </c>
      <c r="AI57" s="1">
        <f t="shared" si="102"/>
        <v>967429991</v>
      </c>
      <c r="AJ57" s="1">
        <f t="shared" si="103"/>
        <v>10</v>
      </c>
      <c r="AK57" s="1">
        <f>IF(COUNTIF(AJ$54:AJ57,AJ57)&gt;1,1,0)</f>
        <v>0</v>
      </c>
      <c r="AL57" s="1">
        <f t="shared" si="104"/>
        <v>967429991</v>
      </c>
      <c r="AM57" s="1">
        <f t="shared" si="105"/>
        <v>10</v>
      </c>
      <c r="AN57" s="1">
        <f>IF(COUNTIF(AM$54:AM57,AM57)&gt;1,1,0)</f>
        <v>0</v>
      </c>
      <c r="AO57" s="1">
        <f t="shared" si="106"/>
        <v>967429991</v>
      </c>
      <c r="AP57" s="1">
        <f t="shared" si="107"/>
        <v>10</v>
      </c>
      <c r="AQ57" s="1">
        <f>IF(COUNTIF(AP$54:AP57,AP57)&gt;1,1,0)</f>
        <v>0</v>
      </c>
      <c r="AR57" s="1">
        <f t="shared" si="108"/>
        <v>967429991</v>
      </c>
      <c r="AS57" s="1">
        <f t="shared" si="109"/>
        <v>10</v>
      </c>
      <c r="AT57" s="1">
        <f>IF(COUNTIF(AS$54:AS57,AS57)&gt;1,1,0)</f>
        <v>0</v>
      </c>
      <c r="AU57" s="1">
        <f t="shared" si="110"/>
        <v>967429991</v>
      </c>
      <c r="AV57" s="1">
        <f t="shared" si="111"/>
        <v>10</v>
      </c>
      <c r="AW57" s="1">
        <f>IF(COUNTIF(AV$54:AV57,AV57)&gt;1,1,0)</f>
        <v>0</v>
      </c>
      <c r="AX57" s="1">
        <f t="shared" si="112"/>
        <v>967429991</v>
      </c>
      <c r="AY57" s="1">
        <f t="shared" si="113"/>
        <v>10</v>
      </c>
      <c r="AZ57" s="1">
        <f>IF(COUNTIF(AY$54:AY57,AY57)&gt;1,1,0)</f>
        <v>0</v>
      </c>
      <c r="BA57" s="1">
        <f t="shared" si="114"/>
        <v>967429991</v>
      </c>
      <c r="BB57" s="1">
        <f t="shared" si="115"/>
        <v>10</v>
      </c>
      <c r="BC57" s="1">
        <f>IF(COUNTIF(BB$54:BB57,BB57)&gt;1,1,0)</f>
        <v>0</v>
      </c>
      <c r="BD57" s="1">
        <f t="shared" si="116"/>
        <v>967429991</v>
      </c>
      <c r="BE57" s="1">
        <f t="shared" si="117"/>
        <v>10</v>
      </c>
    </row>
    <row r="58" spans="1:57" ht="16.5">
      <c r="A58" t="s">
        <v>63</v>
      </c>
      <c r="B58">
        <v>56</v>
      </c>
      <c r="C58">
        <v>8</v>
      </c>
      <c r="D58" t="str">
        <f t="shared" si="88"/>
        <v>KGW Essen</v>
      </c>
      <c r="E58" t="str">
        <f t="shared" si="88"/>
        <v>A</v>
      </c>
      <c r="F58">
        <f t="shared" si="88"/>
        <v>3</v>
      </c>
      <c r="G58">
        <f t="shared" si="88"/>
        <v>4</v>
      </c>
      <c r="H58">
        <f t="shared" si="88"/>
        <v>4</v>
      </c>
      <c r="I58">
        <f t="shared" si="88"/>
        <v>24</v>
      </c>
      <c r="J58">
        <f t="shared" si="88"/>
        <v>30</v>
      </c>
      <c r="N58" s="1">
        <f t="shared" si="90"/>
        <v>8</v>
      </c>
      <c r="O58" s="1" t="str">
        <f t="shared" si="91"/>
        <v>KGW Essen</v>
      </c>
      <c r="P58" s="1" t="str">
        <f>Saisondaten!$B$17</f>
        <v>A</v>
      </c>
      <c r="Q58" s="1">
        <f t="shared" si="92"/>
        <v>3</v>
      </c>
      <c r="R58" s="1">
        <f t="shared" si="89"/>
        <v>6</v>
      </c>
      <c r="S58" s="1">
        <f t="shared" si="89"/>
        <v>7</v>
      </c>
      <c r="T58" s="1">
        <f t="shared" si="89"/>
        <v>37</v>
      </c>
      <c r="U58" s="1">
        <f t="shared" si="89"/>
        <v>50</v>
      </c>
      <c r="V58" s="1">
        <f t="shared" si="93"/>
        <v>15</v>
      </c>
      <c r="W58" s="1">
        <f t="shared" si="94"/>
        <v>1488732190</v>
      </c>
      <c r="X58" s="1">
        <f t="shared" si="95"/>
        <v>8</v>
      </c>
      <c r="Y58" s="1">
        <f>IF(COUNTIF(X$54:X58,X58)&gt;1,1,0)</f>
        <v>0</v>
      </c>
      <c r="Z58" s="1">
        <f t="shared" si="96"/>
        <v>1488732190</v>
      </c>
      <c r="AA58" s="1">
        <f t="shared" si="97"/>
        <v>8</v>
      </c>
      <c r="AB58" s="1">
        <f>IF(COUNTIF(AA$54:AA58,AA58)&gt;1,1,0)</f>
        <v>0</v>
      </c>
      <c r="AC58" s="1">
        <f t="shared" si="98"/>
        <v>1488732190</v>
      </c>
      <c r="AD58" s="1">
        <f t="shared" si="99"/>
        <v>8</v>
      </c>
      <c r="AE58" s="1">
        <f>IF(COUNTIF(AD$54:AD58,AD58)&gt;1,1,0)</f>
        <v>0</v>
      </c>
      <c r="AF58" s="1">
        <f t="shared" si="100"/>
        <v>1488732190</v>
      </c>
      <c r="AG58" s="1">
        <f t="shared" si="101"/>
        <v>8</v>
      </c>
      <c r="AH58" s="1">
        <f>IF(COUNTIF(AG$54:AG58,AG58)&gt;1,1,0)</f>
        <v>0</v>
      </c>
      <c r="AI58" s="1">
        <f t="shared" si="102"/>
        <v>1488732190</v>
      </c>
      <c r="AJ58" s="1">
        <f t="shared" si="103"/>
        <v>8</v>
      </c>
      <c r="AK58" s="1">
        <f>IF(COUNTIF(AJ$54:AJ58,AJ58)&gt;1,1,0)</f>
        <v>0</v>
      </c>
      <c r="AL58" s="1">
        <f t="shared" si="104"/>
        <v>1488732190</v>
      </c>
      <c r="AM58" s="1">
        <f t="shared" si="105"/>
        <v>8</v>
      </c>
      <c r="AN58" s="1">
        <f>IF(COUNTIF(AM$54:AM58,AM58)&gt;1,1,0)</f>
        <v>0</v>
      </c>
      <c r="AO58" s="1">
        <f t="shared" si="106"/>
        <v>1488732190</v>
      </c>
      <c r="AP58" s="1">
        <f t="shared" si="107"/>
        <v>8</v>
      </c>
      <c r="AQ58" s="1">
        <f>IF(COUNTIF(AP$54:AP58,AP58)&gt;1,1,0)</f>
        <v>0</v>
      </c>
      <c r="AR58" s="1">
        <f t="shared" si="108"/>
        <v>1488732190</v>
      </c>
      <c r="AS58" s="1">
        <f t="shared" si="109"/>
        <v>8</v>
      </c>
      <c r="AT58" s="1">
        <f>IF(COUNTIF(AS$54:AS58,AS58)&gt;1,1,0)</f>
        <v>0</v>
      </c>
      <c r="AU58" s="1">
        <f t="shared" si="110"/>
        <v>1488732190</v>
      </c>
      <c r="AV58" s="1">
        <f t="shared" si="111"/>
        <v>8</v>
      </c>
      <c r="AW58" s="1">
        <f>IF(COUNTIF(AV$54:AV58,AV58)&gt;1,1,0)</f>
        <v>0</v>
      </c>
      <c r="AX58" s="1">
        <f t="shared" si="112"/>
        <v>1488732190</v>
      </c>
      <c r="AY58" s="1">
        <f t="shared" si="113"/>
        <v>8</v>
      </c>
      <c r="AZ58" s="1">
        <f>IF(COUNTIF(AY$54:AY58,AY58)&gt;1,1,0)</f>
        <v>0</v>
      </c>
      <c r="BA58" s="1">
        <f t="shared" si="114"/>
        <v>1488732190</v>
      </c>
      <c r="BB58" s="1">
        <f t="shared" si="115"/>
        <v>8</v>
      </c>
      <c r="BC58" s="1">
        <f>IF(COUNTIF(BB$54:BB58,BB58)&gt;1,1,0)</f>
        <v>0</v>
      </c>
      <c r="BD58" s="1">
        <f t="shared" si="116"/>
        <v>1488732190</v>
      </c>
      <c r="BE58" s="1">
        <f t="shared" si="117"/>
        <v>8</v>
      </c>
    </row>
    <row r="59" spans="1:57" ht="16.5">
      <c r="A59" t="s">
        <v>63</v>
      </c>
      <c r="B59">
        <v>57</v>
      </c>
      <c r="C59">
        <v>9</v>
      </c>
      <c r="D59" t="str">
        <f t="shared" si="88"/>
        <v>VK Berlin</v>
      </c>
      <c r="E59" t="str">
        <f t="shared" si="88"/>
        <v>B</v>
      </c>
      <c r="F59">
        <f t="shared" si="88"/>
        <v>2</v>
      </c>
      <c r="G59">
        <f t="shared" si="88"/>
        <v>3</v>
      </c>
      <c r="H59">
        <f t="shared" si="88"/>
        <v>6</v>
      </c>
      <c r="I59">
        <f t="shared" si="88"/>
        <v>35</v>
      </c>
      <c r="J59">
        <f t="shared" si="88"/>
        <v>47</v>
      </c>
      <c r="N59" s="1">
        <f t="shared" si="90"/>
        <v>11</v>
      </c>
      <c r="O59" s="1" t="str">
        <f t="shared" si="91"/>
        <v>Göttinger PC</v>
      </c>
      <c r="P59" s="1" t="str">
        <f>Saisondaten!$B$17</f>
        <v>A</v>
      </c>
      <c r="Q59" s="1">
        <f t="shared" si="92"/>
        <v>1</v>
      </c>
      <c r="R59" s="1">
        <f t="shared" si="89"/>
        <v>2</v>
      </c>
      <c r="S59" s="1">
        <f t="shared" si="89"/>
        <v>13</v>
      </c>
      <c r="T59" s="1">
        <f t="shared" si="89"/>
        <v>38</v>
      </c>
      <c r="U59" s="1">
        <f t="shared" si="89"/>
        <v>81</v>
      </c>
      <c r="V59" s="1">
        <f t="shared" si="93"/>
        <v>5</v>
      </c>
      <c r="W59" s="1">
        <f t="shared" si="94"/>
        <v>462073337</v>
      </c>
      <c r="X59" s="1">
        <f t="shared" si="95"/>
        <v>11</v>
      </c>
      <c r="Y59" s="1">
        <f>IF(COUNTIF(X$54:X59,X59)&gt;1,1,0)</f>
        <v>0</v>
      </c>
      <c r="Z59" s="1">
        <f t="shared" si="96"/>
        <v>462073337</v>
      </c>
      <c r="AA59" s="1">
        <f t="shared" si="97"/>
        <v>11</v>
      </c>
      <c r="AB59" s="1">
        <f>IF(COUNTIF(AA$54:AA59,AA59)&gt;1,1,0)</f>
        <v>0</v>
      </c>
      <c r="AC59" s="1">
        <f t="shared" si="98"/>
        <v>462073337</v>
      </c>
      <c r="AD59" s="1">
        <f t="shared" si="99"/>
        <v>11</v>
      </c>
      <c r="AE59" s="1">
        <f>IF(COUNTIF(AD$54:AD59,AD59)&gt;1,1,0)</f>
        <v>0</v>
      </c>
      <c r="AF59" s="1">
        <f t="shared" si="100"/>
        <v>462073337</v>
      </c>
      <c r="AG59" s="1">
        <f t="shared" si="101"/>
        <v>11</v>
      </c>
      <c r="AH59" s="1">
        <f>IF(COUNTIF(AG$54:AG59,AG59)&gt;1,1,0)</f>
        <v>0</v>
      </c>
      <c r="AI59" s="1">
        <f t="shared" si="102"/>
        <v>462073337</v>
      </c>
      <c r="AJ59" s="1">
        <f t="shared" si="103"/>
        <v>11</v>
      </c>
      <c r="AK59" s="1">
        <f>IF(COUNTIF(AJ$54:AJ59,AJ59)&gt;1,1,0)</f>
        <v>0</v>
      </c>
      <c r="AL59" s="1">
        <f t="shared" si="104"/>
        <v>462073337</v>
      </c>
      <c r="AM59" s="1">
        <f t="shared" si="105"/>
        <v>11</v>
      </c>
      <c r="AN59" s="1">
        <f>IF(COUNTIF(AM$54:AM59,AM59)&gt;1,1,0)</f>
        <v>0</v>
      </c>
      <c r="AO59" s="1">
        <f t="shared" si="106"/>
        <v>462073337</v>
      </c>
      <c r="AP59" s="1">
        <f t="shared" si="107"/>
        <v>11</v>
      </c>
      <c r="AQ59" s="1">
        <f>IF(COUNTIF(AP$54:AP59,AP59)&gt;1,1,0)</f>
        <v>0</v>
      </c>
      <c r="AR59" s="1">
        <f t="shared" si="108"/>
        <v>462073337</v>
      </c>
      <c r="AS59" s="1">
        <f t="shared" si="109"/>
        <v>11</v>
      </c>
      <c r="AT59" s="1">
        <f>IF(COUNTIF(AS$54:AS59,AS59)&gt;1,1,0)</f>
        <v>0</v>
      </c>
      <c r="AU59" s="1">
        <f t="shared" si="110"/>
        <v>462073337</v>
      </c>
      <c r="AV59" s="1">
        <f t="shared" si="111"/>
        <v>11</v>
      </c>
      <c r="AW59" s="1">
        <f>IF(COUNTIF(AV$54:AV59,AV59)&gt;1,1,0)</f>
        <v>0</v>
      </c>
      <c r="AX59" s="1">
        <f t="shared" si="112"/>
        <v>462073337</v>
      </c>
      <c r="AY59" s="1">
        <f t="shared" si="113"/>
        <v>11</v>
      </c>
      <c r="AZ59" s="1">
        <f>IF(COUNTIF(AY$54:AY59,AY59)&gt;1,1,0)</f>
        <v>0</v>
      </c>
      <c r="BA59" s="1">
        <f t="shared" si="114"/>
        <v>462073337</v>
      </c>
      <c r="BB59" s="1">
        <f t="shared" si="115"/>
        <v>11</v>
      </c>
      <c r="BC59" s="1">
        <f>IF(COUNTIF(BB$54:BB59,BB59)&gt;1,1,0)</f>
        <v>0</v>
      </c>
      <c r="BD59" s="1">
        <f t="shared" si="116"/>
        <v>462073337</v>
      </c>
      <c r="BE59" s="1">
        <f t="shared" si="117"/>
        <v>11</v>
      </c>
    </row>
    <row r="60" spans="1:57" ht="16.5">
      <c r="A60" t="s">
        <v>63</v>
      </c>
      <c r="B60">
        <v>58</v>
      </c>
      <c r="C60">
        <v>10</v>
      </c>
      <c r="D60" t="str">
        <f t="shared" si="88"/>
        <v>KC Wetter</v>
      </c>
      <c r="E60" t="str">
        <f t="shared" si="88"/>
        <v>A</v>
      </c>
      <c r="F60">
        <f t="shared" si="88"/>
        <v>1</v>
      </c>
      <c r="G60">
        <f t="shared" si="88"/>
        <v>2</v>
      </c>
      <c r="H60">
        <f t="shared" si="88"/>
        <v>8</v>
      </c>
      <c r="I60">
        <f t="shared" si="88"/>
        <v>26</v>
      </c>
      <c r="J60">
        <f t="shared" si="88"/>
        <v>56</v>
      </c>
      <c r="N60" s="1">
        <f t="shared" si="90"/>
        <v>4</v>
      </c>
      <c r="O60" s="1" t="str">
        <f t="shared" si="91"/>
        <v>ACC Hamburg</v>
      </c>
      <c r="P60" s="1" t="str">
        <f>Saisondaten!$C$17</f>
        <v>B</v>
      </c>
      <c r="Q60" s="1">
        <f t="shared" si="92"/>
        <v>10</v>
      </c>
      <c r="R60" s="1">
        <f t="shared" si="89"/>
        <v>2</v>
      </c>
      <c r="S60" s="1">
        <f t="shared" si="89"/>
        <v>4</v>
      </c>
      <c r="T60" s="1">
        <f t="shared" si="89"/>
        <v>65</v>
      </c>
      <c r="U60" s="1">
        <f t="shared" si="89"/>
        <v>43</v>
      </c>
      <c r="V60" s="1">
        <f t="shared" si="93"/>
        <v>32</v>
      </c>
      <c r="W60" s="1">
        <f t="shared" si="94"/>
        <v>3220061009</v>
      </c>
      <c r="X60" s="1">
        <f t="shared" si="95"/>
        <v>4</v>
      </c>
      <c r="Y60" s="1">
        <f>IF(COUNTIF(X$54:X60,X60)&gt;1,1,0)</f>
        <v>0</v>
      </c>
      <c r="Z60" s="1">
        <f t="shared" si="96"/>
        <v>3220061009</v>
      </c>
      <c r="AA60" s="1">
        <f t="shared" si="97"/>
        <v>4</v>
      </c>
      <c r="AB60" s="1">
        <f>IF(COUNTIF(AA$54:AA60,AA60)&gt;1,1,0)</f>
        <v>0</v>
      </c>
      <c r="AC60" s="1">
        <f t="shared" si="98"/>
        <v>3220061009</v>
      </c>
      <c r="AD60" s="1">
        <f t="shared" si="99"/>
        <v>4</v>
      </c>
      <c r="AE60" s="1">
        <f>IF(COUNTIF(AD$54:AD60,AD60)&gt;1,1,0)</f>
        <v>0</v>
      </c>
      <c r="AF60" s="1">
        <f t="shared" si="100"/>
        <v>3220061009</v>
      </c>
      <c r="AG60" s="1">
        <f t="shared" si="101"/>
        <v>4</v>
      </c>
      <c r="AH60" s="1">
        <f>IF(COUNTIF(AG$54:AG60,AG60)&gt;1,1,0)</f>
        <v>0</v>
      </c>
      <c r="AI60" s="1">
        <f t="shared" si="102"/>
        <v>3220061009</v>
      </c>
      <c r="AJ60" s="1">
        <f t="shared" si="103"/>
        <v>4</v>
      </c>
      <c r="AK60" s="1">
        <f>IF(COUNTIF(AJ$54:AJ60,AJ60)&gt;1,1,0)</f>
        <v>0</v>
      </c>
      <c r="AL60" s="1">
        <f t="shared" si="104"/>
        <v>3220061009</v>
      </c>
      <c r="AM60" s="1">
        <f t="shared" si="105"/>
        <v>4</v>
      </c>
      <c r="AN60" s="1">
        <f>IF(COUNTIF(AM$54:AM60,AM60)&gt;1,1,0)</f>
        <v>0</v>
      </c>
      <c r="AO60" s="1">
        <f t="shared" si="106"/>
        <v>3220061009</v>
      </c>
      <c r="AP60" s="1">
        <f t="shared" si="107"/>
        <v>4</v>
      </c>
      <c r="AQ60" s="1">
        <f>IF(COUNTIF(AP$54:AP60,AP60)&gt;1,1,0)</f>
        <v>0</v>
      </c>
      <c r="AR60" s="1">
        <f t="shared" si="108"/>
        <v>3220061009</v>
      </c>
      <c r="AS60" s="1">
        <f t="shared" si="109"/>
        <v>4</v>
      </c>
      <c r="AT60" s="1">
        <f>IF(COUNTIF(AS$54:AS60,AS60)&gt;1,1,0)</f>
        <v>0</v>
      </c>
      <c r="AU60" s="1">
        <f t="shared" si="110"/>
        <v>3220061009</v>
      </c>
      <c r="AV60" s="1">
        <f t="shared" si="111"/>
        <v>4</v>
      </c>
      <c r="AW60" s="1">
        <f>IF(COUNTIF(AV$54:AV60,AV60)&gt;1,1,0)</f>
        <v>0</v>
      </c>
      <c r="AX60" s="1">
        <f t="shared" si="112"/>
        <v>3220061009</v>
      </c>
      <c r="AY60" s="1">
        <f t="shared" si="113"/>
        <v>4</v>
      </c>
      <c r="AZ60" s="1">
        <f>IF(COUNTIF(AY$54:AY60,AY60)&gt;1,1,0)</f>
        <v>0</v>
      </c>
      <c r="BA60" s="1">
        <f t="shared" si="114"/>
        <v>3220061009</v>
      </c>
      <c r="BB60" s="1">
        <f t="shared" si="115"/>
        <v>4</v>
      </c>
      <c r="BC60" s="1">
        <f>IF(COUNTIF(BB$54:BB60,BB60)&gt;1,1,0)</f>
        <v>0</v>
      </c>
      <c r="BD60" s="1">
        <f t="shared" si="116"/>
        <v>3220061009</v>
      </c>
      <c r="BE60" s="1">
        <f t="shared" si="117"/>
        <v>4</v>
      </c>
    </row>
    <row r="61" spans="1:57" ht="16.5">
      <c r="A61" t="s">
        <v>63</v>
      </c>
      <c r="B61">
        <v>59</v>
      </c>
      <c r="C61">
        <v>11</v>
      </c>
      <c r="D61" t="str">
        <f t="shared" si="88"/>
        <v>Göttinger PC</v>
      </c>
      <c r="E61" t="str">
        <f t="shared" si="88"/>
        <v>A</v>
      </c>
      <c r="F61">
        <f t="shared" si="88"/>
        <v>1</v>
      </c>
      <c r="G61">
        <f t="shared" si="88"/>
        <v>1</v>
      </c>
      <c r="H61">
        <f t="shared" si="88"/>
        <v>9</v>
      </c>
      <c r="I61">
        <f t="shared" si="88"/>
        <v>30</v>
      </c>
      <c r="J61">
        <f t="shared" si="88"/>
        <v>56</v>
      </c>
      <c r="N61" s="1">
        <f t="shared" si="90"/>
        <v>7</v>
      </c>
      <c r="O61" s="1" t="str">
        <f t="shared" si="91"/>
        <v>KCNW Berlin</v>
      </c>
      <c r="P61" s="1" t="str">
        <f>Saisondaten!$C$17</f>
        <v>B</v>
      </c>
      <c r="Q61" s="1">
        <f t="shared" si="92"/>
        <v>8</v>
      </c>
      <c r="R61" s="1">
        <f t="shared" si="89"/>
        <v>1</v>
      </c>
      <c r="S61" s="1">
        <f t="shared" si="89"/>
        <v>7</v>
      </c>
      <c r="T61" s="1">
        <f t="shared" si="89"/>
        <v>53</v>
      </c>
      <c r="U61" s="1">
        <f t="shared" si="89"/>
        <v>44</v>
      </c>
      <c r="V61" s="1">
        <f t="shared" si="93"/>
        <v>25</v>
      </c>
      <c r="W61" s="1">
        <f t="shared" si="94"/>
        <v>2508412148</v>
      </c>
      <c r="X61" s="1">
        <f t="shared" si="95"/>
        <v>7</v>
      </c>
      <c r="Y61" s="1">
        <f>IF(COUNTIF(X$54:X61,X61)&gt;1,1,0)</f>
        <v>0</v>
      </c>
      <c r="Z61" s="1">
        <f t="shared" si="96"/>
        <v>2508412148</v>
      </c>
      <c r="AA61" s="1">
        <f t="shared" si="97"/>
        <v>7</v>
      </c>
      <c r="AB61" s="1">
        <f>IF(COUNTIF(AA$54:AA61,AA61)&gt;1,1,0)</f>
        <v>0</v>
      </c>
      <c r="AC61" s="1">
        <f t="shared" si="98"/>
        <v>2508412148</v>
      </c>
      <c r="AD61" s="1">
        <f t="shared" si="99"/>
        <v>7</v>
      </c>
      <c r="AE61" s="1">
        <f>IF(COUNTIF(AD$54:AD61,AD61)&gt;1,1,0)</f>
        <v>0</v>
      </c>
      <c r="AF61" s="1">
        <f t="shared" si="100"/>
        <v>2508412148</v>
      </c>
      <c r="AG61" s="1">
        <f t="shared" si="101"/>
        <v>7</v>
      </c>
      <c r="AH61" s="1">
        <f>IF(COUNTIF(AG$54:AG61,AG61)&gt;1,1,0)</f>
        <v>0</v>
      </c>
      <c r="AI61" s="1">
        <f t="shared" si="102"/>
        <v>2508412148</v>
      </c>
      <c r="AJ61" s="1">
        <f t="shared" si="103"/>
        <v>7</v>
      </c>
      <c r="AK61" s="1">
        <f>IF(COUNTIF(AJ$54:AJ61,AJ61)&gt;1,1,0)</f>
        <v>0</v>
      </c>
      <c r="AL61" s="1">
        <f t="shared" si="104"/>
        <v>2508412148</v>
      </c>
      <c r="AM61" s="1">
        <f t="shared" si="105"/>
        <v>7</v>
      </c>
      <c r="AN61" s="1">
        <f>IF(COUNTIF(AM$54:AM61,AM61)&gt;1,1,0)</f>
        <v>0</v>
      </c>
      <c r="AO61" s="1">
        <f t="shared" si="106"/>
        <v>2508412148</v>
      </c>
      <c r="AP61" s="1">
        <f t="shared" si="107"/>
        <v>7</v>
      </c>
      <c r="AQ61" s="1">
        <f>IF(COUNTIF(AP$54:AP61,AP61)&gt;1,1,0)</f>
        <v>0</v>
      </c>
      <c r="AR61" s="1">
        <f t="shared" si="108"/>
        <v>2508412148</v>
      </c>
      <c r="AS61" s="1">
        <f t="shared" si="109"/>
        <v>7</v>
      </c>
      <c r="AT61" s="1">
        <f>IF(COUNTIF(AS$54:AS61,AS61)&gt;1,1,0)</f>
        <v>0</v>
      </c>
      <c r="AU61" s="1">
        <f t="shared" si="110"/>
        <v>2508412148</v>
      </c>
      <c r="AV61" s="1">
        <f t="shared" si="111"/>
        <v>7</v>
      </c>
      <c r="AW61" s="1">
        <f>IF(COUNTIF(AV$54:AV61,AV61)&gt;1,1,0)</f>
        <v>0</v>
      </c>
      <c r="AX61" s="1">
        <f t="shared" si="112"/>
        <v>2508412148</v>
      </c>
      <c r="AY61" s="1">
        <f t="shared" si="113"/>
        <v>7</v>
      </c>
      <c r="AZ61" s="1">
        <f>IF(COUNTIF(AY$54:AY61,AY61)&gt;1,1,0)</f>
        <v>0</v>
      </c>
      <c r="BA61" s="1">
        <f t="shared" si="114"/>
        <v>2508412148</v>
      </c>
      <c r="BB61" s="1">
        <f t="shared" si="115"/>
        <v>7</v>
      </c>
      <c r="BC61" s="1">
        <f>IF(COUNTIF(BB$54:BB61,BB61)&gt;1,1,0)</f>
        <v>0</v>
      </c>
      <c r="BD61" s="1">
        <f t="shared" si="116"/>
        <v>2508412148</v>
      </c>
      <c r="BE61" s="1">
        <f t="shared" si="117"/>
        <v>7</v>
      </c>
    </row>
    <row r="62" spans="1:57" ht="16.5">
      <c r="A62" t="s">
        <v>63</v>
      </c>
      <c r="B62">
        <v>60</v>
      </c>
      <c r="C62">
        <v>12</v>
      </c>
      <c r="D62" t="str">
        <f t="shared" si="88"/>
        <v>KSV Glauchau</v>
      </c>
      <c r="E62" t="str">
        <f t="shared" si="88"/>
        <v>B</v>
      </c>
      <c r="F62">
        <f t="shared" si="88"/>
        <v>0</v>
      </c>
      <c r="G62">
        <f t="shared" si="88"/>
        <v>1</v>
      </c>
      <c r="H62">
        <f t="shared" si="88"/>
        <v>10</v>
      </c>
      <c r="I62">
        <f t="shared" si="88"/>
        <v>22</v>
      </c>
      <c r="J62">
        <f t="shared" si="88"/>
        <v>56</v>
      </c>
      <c r="N62" s="1">
        <f t="shared" si="90"/>
        <v>3</v>
      </c>
      <c r="O62" s="1" t="str">
        <f t="shared" si="91"/>
        <v>RSV Hannover</v>
      </c>
      <c r="P62" s="1" t="str">
        <f>Saisondaten!$C$17</f>
        <v>B</v>
      </c>
      <c r="Q62" s="1">
        <f t="shared" si="92"/>
        <v>11</v>
      </c>
      <c r="R62" s="1">
        <f t="shared" si="89"/>
        <v>2</v>
      </c>
      <c r="S62" s="1">
        <f t="shared" si="89"/>
        <v>3</v>
      </c>
      <c r="T62" s="1">
        <f t="shared" si="89"/>
        <v>57</v>
      </c>
      <c r="U62" s="1">
        <f t="shared" si="89"/>
        <v>36</v>
      </c>
      <c r="V62" s="1">
        <f t="shared" si="93"/>
        <v>35</v>
      </c>
      <c r="W62" s="1">
        <f t="shared" si="94"/>
        <v>3519109902</v>
      </c>
      <c r="X62" s="1">
        <f t="shared" si="95"/>
        <v>3</v>
      </c>
      <c r="Y62" s="1">
        <f>IF(COUNTIF(X$54:X62,X62)&gt;1,1,0)</f>
        <v>0</v>
      </c>
      <c r="Z62" s="1">
        <f t="shared" si="96"/>
        <v>3519109902</v>
      </c>
      <c r="AA62" s="1">
        <f t="shared" si="97"/>
        <v>3</v>
      </c>
      <c r="AB62" s="1">
        <f>IF(COUNTIF(AA$54:AA62,AA62)&gt;1,1,0)</f>
        <v>0</v>
      </c>
      <c r="AC62" s="1">
        <f t="shared" si="98"/>
        <v>3519109902</v>
      </c>
      <c r="AD62" s="1">
        <f t="shared" si="99"/>
        <v>3</v>
      </c>
      <c r="AE62" s="1">
        <f>IF(COUNTIF(AD$54:AD62,AD62)&gt;1,1,0)</f>
        <v>0</v>
      </c>
      <c r="AF62" s="1">
        <f t="shared" si="100"/>
        <v>3519109902</v>
      </c>
      <c r="AG62" s="1">
        <f t="shared" si="101"/>
        <v>3</v>
      </c>
      <c r="AH62" s="1">
        <f>IF(COUNTIF(AG$54:AG62,AG62)&gt;1,1,0)</f>
        <v>0</v>
      </c>
      <c r="AI62" s="1">
        <f t="shared" si="102"/>
        <v>3519109902</v>
      </c>
      <c r="AJ62" s="1">
        <f t="shared" si="103"/>
        <v>3</v>
      </c>
      <c r="AK62" s="1">
        <f>IF(COUNTIF(AJ$54:AJ62,AJ62)&gt;1,1,0)</f>
        <v>0</v>
      </c>
      <c r="AL62" s="1">
        <f t="shared" si="104"/>
        <v>3519109902</v>
      </c>
      <c r="AM62" s="1">
        <f t="shared" si="105"/>
        <v>3</v>
      </c>
      <c r="AN62" s="1">
        <f>IF(COUNTIF(AM$54:AM62,AM62)&gt;1,1,0)</f>
        <v>0</v>
      </c>
      <c r="AO62" s="1">
        <f t="shared" si="106"/>
        <v>3519109902</v>
      </c>
      <c r="AP62" s="1">
        <f t="shared" si="107"/>
        <v>3</v>
      </c>
      <c r="AQ62" s="1">
        <f>IF(COUNTIF(AP$54:AP62,AP62)&gt;1,1,0)</f>
        <v>0</v>
      </c>
      <c r="AR62" s="1">
        <f t="shared" si="108"/>
        <v>3519109902</v>
      </c>
      <c r="AS62" s="1">
        <f t="shared" si="109"/>
        <v>3</v>
      </c>
      <c r="AT62" s="1">
        <f>IF(COUNTIF(AS$54:AS62,AS62)&gt;1,1,0)</f>
        <v>0</v>
      </c>
      <c r="AU62" s="1">
        <f t="shared" si="110"/>
        <v>3519109902</v>
      </c>
      <c r="AV62" s="1">
        <f t="shared" si="111"/>
        <v>3</v>
      </c>
      <c r="AW62" s="1">
        <f>IF(COUNTIF(AV$54:AV62,AV62)&gt;1,1,0)</f>
        <v>0</v>
      </c>
      <c r="AX62" s="1">
        <f t="shared" si="112"/>
        <v>3519109902</v>
      </c>
      <c r="AY62" s="1">
        <f t="shared" si="113"/>
        <v>3</v>
      </c>
      <c r="AZ62" s="1">
        <f>IF(COUNTIF(AY$54:AY62,AY62)&gt;1,1,0)</f>
        <v>0</v>
      </c>
      <c r="BA62" s="1">
        <f t="shared" si="114"/>
        <v>3519109902</v>
      </c>
      <c r="BB62" s="1">
        <f t="shared" si="115"/>
        <v>3</v>
      </c>
      <c r="BC62" s="1">
        <f>IF(COUNTIF(BB$54:BB62,BB62)&gt;1,1,0)</f>
        <v>0</v>
      </c>
      <c r="BD62" s="1">
        <f t="shared" si="116"/>
        <v>3519109902</v>
      </c>
      <c r="BE62" s="1">
        <f t="shared" si="117"/>
        <v>3</v>
      </c>
    </row>
    <row r="63" spans="1:57" ht="16.5">
      <c r="A63" t="s">
        <v>64</v>
      </c>
      <c r="B63">
        <v>61</v>
      </c>
      <c r="C63">
        <v>1</v>
      </c>
      <c r="D63" t="str">
        <f>VLOOKUP($C63,$N$22:$U$33,D$1,FALSE)</f>
        <v>KRM Essen</v>
      </c>
      <c r="E63" t="str">
        <f aca="true" t="shared" si="118" ref="E63:J74">VLOOKUP($C63,$N$22:$U$33,E$1,FALSE)</f>
        <v>A</v>
      </c>
      <c r="F63">
        <f t="shared" si="118"/>
        <v>4</v>
      </c>
      <c r="G63">
        <f t="shared" si="118"/>
        <v>1</v>
      </c>
      <c r="H63">
        <f t="shared" si="118"/>
        <v>0</v>
      </c>
      <c r="I63">
        <f t="shared" si="118"/>
        <v>23</v>
      </c>
      <c r="J63">
        <f t="shared" si="118"/>
        <v>7</v>
      </c>
      <c r="N63" s="1">
        <f t="shared" si="90"/>
        <v>9</v>
      </c>
      <c r="O63" s="1" t="str">
        <f t="shared" si="91"/>
        <v>VK Berlin</v>
      </c>
      <c r="P63" s="1" t="str">
        <f>Saisondaten!$C$17</f>
        <v>B</v>
      </c>
      <c r="Q63" s="1">
        <f t="shared" si="92"/>
        <v>3</v>
      </c>
      <c r="R63" s="1">
        <f t="shared" si="89"/>
        <v>3</v>
      </c>
      <c r="S63" s="1">
        <f t="shared" si="89"/>
        <v>10</v>
      </c>
      <c r="T63" s="1">
        <f t="shared" si="89"/>
        <v>45</v>
      </c>
      <c r="U63" s="1">
        <f t="shared" si="89"/>
        <v>65</v>
      </c>
      <c r="V63" s="1">
        <f t="shared" si="93"/>
        <v>12</v>
      </c>
      <c r="W63" s="1">
        <f t="shared" si="94"/>
        <v>1182572193</v>
      </c>
      <c r="X63" s="1">
        <f t="shared" si="95"/>
        <v>9</v>
      </c>
      <c r="Y63" s="1">
        <f>IF(COUNTIF(X$54:X63,X63)&gt;1,1,0)</f>
        <v>0</v>
      </c>
      <c r="Z63" s="1">
        <f t="shared" si="96"/>
        <v>1182572193</v>
      </c>
      <c r="AA63" s="1">
        <f t="shared" si="97"/>
        <v>9</v>
      </c>
      <c r="AB63" s="1">
        <f>IF(COUNTIF(AA$54:AA63,AA63)&gt;1,1,0)</f>
        <v>0</v>
      </c>
      <c r="AC63" s="1">
        <f t="shared" si="98"/>
        <v>1182572193</v>
      </c>
      <c r="AD63" s="1">
        <f t="shared" si="99"/>
        <v>9</v>
      </c>
      <c r="AE63" s="1">
        <f>IF(COUNTIF(AD$54:AD63,AD63)&gt;1,1,0)</f>
        <v>0</v>
      </c>
      <c r="AF63" s="1">
        <f t="shared" si="100"/>
        <v>1182572193</v>
      </c>
      <c r="AG63" s="1">
        <f t="shared" si="101"/>
        <v>9</v>
      </c>
      <c r="AH63" s="1">
        <f>IF(COUNTIF(AG$54:AG63,AG63)&gt;1,1,0)</f>
        <v>0</v>
      </c>
      <c r="AI63" s="1">
        <f t="shared" si="102"/>
        <v>1182572193</v>
      </c>
      <c r="AJ63" s="1">
        <f t="shared" si="103"/>
        <v>9</v>
      </c>
      <c r="AK63" s="1">
        <f>IF(COUNTIF(AJ$54:AJ63,AJ63)&gt;1,1,0)</f>
        <v>0</v>
      </c>
      <c r="AL63" s="1">
        <f t="shared" si="104"/>
        <v>1182572193</v>
      </c>
      <c r="AM63" s="1">
        <f t="shared" si="105"/>
        <v>9</v>
      </c>
      <c r="AN63" s="1">
        <f>IF(COUNTIF(AM$54:AM63,AM63)&gt;1,1,0)</f>
        <v>0</v>
      </c>
      <c r="AO63" s="1">
        <f t="shared" si="106"/>
        <v>1182572193</v>
      </c>
      <c r="AP63" s="1">
        <f t="shared" si="107"/>
        <v>9</v>
      </c>
      <c r="AQ63" s="1">
        <f>IF(COUNTIF(AP$54:AP63,AP63)&gt;1,1,0)</f>
        <v>0</v>
      </c>
      <c r="AR63" s="1">
        <f t="shared" si="108"/>
        <v>1182572193</v>
      </c>
      <c r="AS63" s="1">
        <f t="shared" si="109"/>
        <v>9</v>
      </c>
      <c r="AT63" s="1">
        <f>IF(COUNTIF(AS$54:AS63,AS63)&gt;1,1,0)</f>
        <v>0</v>
      </c>
      <c r="AU63" s="1">
        <f t="shared" si="110"/>
        <v>1182572193</v>
      </c>
      <c r="AV63" s="1">
        <f t="shared" si="111"/>
        <v>9</v>
      </c>
      <c r="AW63" s="1">
        <f>IF(COUNTIF(AV$54:AV63,AV63)&gt;1,1,0)</f>
        <v>0</v>
      </c>
      <c r="AX63" s="1">
        <f t="shared" si="112"/>
        <v>1182572193</v>
      </c>
      <c r="AY63" s="1">
        <f t="shared" si="113"/>
        <v>9</v>
      </c>
      <c r="AZ63" s="1">
        <f>IF(COUNTIF(AY$54:AY63,AY63)&gt;1,1,0)</f>
        <v>0</v>
      </c>
      <c r="BA63" s="1">
        <f t="shared" si="114"/>
        <v>1182572193</v>
      </c>
      <c r="BB63" s="1">
        <f t="shared" si="115"/>
        <v>9</v>
      </c>
      <c r="BC63" s="1">
        <f>IF(COUNTIF(BB$54:BB63,BB63)&gt;1,1,0)</f>
        <v>0</v>
      </c>
      <c r="BD63" s="1">
        <f t="shared" si="116"/>
        <v>1182572193</v>
      </c>
      <c r="BE63" s="1">
        <f t="shared" si="117"/>
        <v>9</v>
      </c>
    </row>
    <row r="64" spans="1:57" ht="16.5">
      <c r="A64" t="s">
        <v>64</v>
      </c>
      <c r="B64">
        <v>62</v>
      </c>
      <c r="C64">
        <v>2</v>
      </c>
      <c r="D64" t="str">
        <f aca="true" t="shared" si="119" ref="D64:D74">VLOOKUP($C64,$N$22:$U$33,D$1,FALSE)</f>
        <v>WSF Liblar</v>
      </c>
      <c r="E64" t="str">
        <f t="shared" si="118"/>
        <v>A</v>
      </c>
      <c r="F64">
        <f t="shared" si="118"/>
        <v>4</v>
      </c>
      <c r="G64">
        <f t="shared" si="118"/>
        <v>1</v>
      </c>
      <c r="H64">
        <f t="shared" si="118"/>
        <v>0</v>
      </c>
      <c r="I64">
        <f t="shared" si="118"/>
        <v>20</v>
      </c>
      <c r="J64">
        <f t="shared" si="118"/>
        <v>9</v>
      </c>
      <c r="N64" s="1">
        <f t="shared" si="90"/>
        <v>12</v>
      </c>
      <c r="O64" s="1" t="str">
        <f t="shared" si="91"/>
        <v>KSV Glauchau</v>
      </c>
      <c r="P64" s="1" t="str">
        <f>Saisondaten!$C$17</f>
        <v>B</v>
      </c>
      <c r="Q64" s="1">
        <f t="shared" si="92"/>
        <v>0</v>
      </c>
      <c r="R64" s="1">
        <f t="shared" si="89"/>
        <v>1</v>
      </c>
      <c r="S64" s="1">
        <f t="shared" si="89"/>
        <v>15</v>
      </c>
      <c r="T64" s="1">
        <f t="shared" si="89"/>
        <v>30</v>
      </c>
      <c r="U64" s="1">
        <f t="shared" si="89"/>
        <v>89</v>
      </c>
      <c r="V64" s="1">
        <f t="shared" si="93"/>
        <v>1</v>
      </c>
      <c r="W64" s="1">
        <f t="shared" si="94"/>
        <v>47788917</v>
      </c>
      <c r="X64" s="1">
        <f t="shared" si="95"/>
        <v>12</v>
      </c>
      <c r="Y64" s="1">
        <f>IF(COUNTIF(X$54:X64,X64)&gt;1,1,0)</f>
        <v>0</v>
      </c>
      <c r="Z64" s="1">
        <f t="shared" si="96"/>
        <v>47788917</v>
      </c>
      <c r="AA64" s="1">
        <f t="shared" si="97"/>
        <v>12</v>
      </c>
      <c r="AB64" s="1">
        <f>IF(COUNTIF(AA$54:AA64,AA64)&gt;1,1,0)</f>
        <v>0</v>
      </c>
      <c r="AC64" s="1">
        <f t="shared" si="98"/>
        <v>47788917</v>
      </c>
      <c r="AD64" s="1">
        <f t="shared" si="99"/>
        <v>12</v>
      </c>
      <c r="AE64" s="1">
        <f>IF(COUNTIF(AD$54:AD64,AD64)&gt;1,1,0)</f>
        <v>0</v>
      </c>
      <c r="AF64" s="1">
        <f t="shared" si="100"/>
        <v>47788917</v>
      </c>
      <c r="AG64" s="1">
        <f t="shared" si="101"/>
        <v>12</v>
      </c>
      <c r="AH64" s="1">
        <f>IF(COUNTIF(AG$54:AG64,AG64)&gt;1,1,0)</f>
        <v>0</v>
      </c>
      <c r="AI64" s="1">
        <f t="shared" si="102"/>
        <v>47788917</v>
      </c>
      <c r="AJ64" s="1">
        <f t="shared" si="103"/>
        <v>12</v>
      </c>
      <c r="AK64" s="1">
        <f>IF(COUNTIF(AJ$54:AJ64,AJ64)&gt;1,1,0)</f>
        <v>0</v>
      </c>
      <c r="AL64" s="1">
        <f t="shared" si="104"/>
        <v>47788917</v>
      </c>
      <c r="AM64" s="1">
        <f t="shared" si="105"/>
        <v>12</v>
      </c>
      <c r="AN64" s="1">
        <f>IF(COUNTIF(AM$54:AM64,AM64)&gt;1,1,0)</f>
        <v>0</v>
      </c>
      <c r="AO64" s="1">
        <f t="shared" si="106"/>
        <v>47788917</v>
      </c>
      <c r="AP64" s="1">
        <f t="shared" si="107"/>
        <v>12</v>
      </c>
      <c r="AQ64" s="1">
        <f>IF(COUNTIF(AP$54:AP64,AP64)&gt;1,1,0)</f>
        <v>0</v>
      </c>
      <c r="AR64" s="1">
        <f t="shared" si="108"/>
        <v>47788917</v>
      </c>
      <c r="AS64" s="1">
        <f t="shared" si="109"/>
        <v>12</v>
      </c>
      <c r="AT64" s="1">
        <f>IF(COUNTIF(AS$54:AS64,AS64)&gt;1,1,0)</f>
        <v>0</v>
      </c>
      <c r="AU64" s="1">
        <f t="shared" si="110"/>
        <v>47788917</v>
      </c>
      <c r="AV64" s="1">
        <f t="shared" si="111"/>
        <v>12</v>
      </c>
      <c r="AW64" s="1">
        <f>IF(COUNTIF(AV$54:AV64,AV64)&gt;1,1,0)</f>
        <v>0</v>
      </c>
      <c r="AX64" s="1">
        <f t="shared" si="112"/>
        <v>47788917</v>
      </c>
      <c r="AY64" s="1">
        <f t="shared" si="113"/>
        <v>12</v>
      </c>
      <c r="AZ64" s="1">
        <f>IF(COUNTIF(AY$54:AY64,AY64)&gt;1,1,0)</f>
        <v>0</v>
      </c>
      <c r="BA64" s="1">
        <f t="shared" si="114"/>
        <v>47788917</v>
      </c>
      <c r="BB64" s="1">
        <f t="shared" si="115"/>
        <v>12</v>
      </c>
      <c r="BC64" s="1">
        <f>IF(COUNTIF(BB$54:BB64,BB64)&gt;1,1,0)</f>
        <v>0</v>
      </c>
      <c r="BD64" s="1">
        <f t="shared" si="116"/>
        <v>47788917</v>
      </c>
      <c r="BE64" s="1">
        <f t="shared" si="117"/>
        <v>12</v>
      </c>
    </row>
    <row r="65" spans="1:57" ht="16.5">
      <c r="A65" t="s">
        <v>64</v>
      </c>
      <c r="B65">
        <v>63</v>
      </c>
      <c r="C65">
        <v>3</v>
      </c>
      <c r="D65" t="str">
        <f t="shared" si="119"/>
        <v>RSV Hannover</v>
      </c>
      <c r="E65" t="str">
        <f t="shared" si="118"/>
        <v>B</v>
      </c>
      <c r="F65">
        <f t="shared" si="118"/>
        <v>4</v>
      </c>
      <c r="G65">
        <f t="shared" si="118"/>
        <v>1</v>
      </c>
      <c r="H65">
        <f t="shared" si="118"/>
        <v>0</v>
      </c>
      <c r="I65">
        <f t="shared" si="118"/>
        <v>16</v>
      </c>
      <c r="J65">
        <f t="shared" si="118"/>
        <v>9</v>
      </c>
      <c r="N65" s="1">
        <f t="shared" si="90"/>
        <v>5</v>
      </c>
      <c r="O65" s="1" t="str">
        <f t="shared" si="91"/>
        <v>KSVH Berlin</v>
      </c>
      <c r="P65" s="1" t="str">
        <f>Saisondaten!$C$17</f>
        <v>B</v>
      </c>
      <c r="Q65" s="1">
        <f t="shared" si="92"/>
        <v>9</v>
      </c>
      <c r="R65" s="1">
        <f t="shared" si="89"/>
        <v>3</v>
      </c>
      <c r="S65" s="1">
        <f t="shared" si="89"/>
        <v>4</v>
      </c>
      <c r="T65" s="1">
        <f t="shared" si="89"/>
        <v>65</v>
      </c>
      <c r="U65" s="1">
        <f t="shared" si="89"/>
        <v>44</v>
      </c>
      <c r="V65" s="1">
        <f t="shared" si="93"/>
        <v>30</v>
      </c>
      <c r="W65" s="1">
        <f t="shared" si="94"/>
        <v>3019172123</v>
      </c>
      <c r="X65" s="1">
        <f t="shared" si="95"/>
        <v>5</v>
      </c>
      <c r="Y65" s="1">
        <f>IF(COUNTIF(X$54:X65,X65)&gt;1,1,0)</f>
        <v>0</v>
      </c>
      <c r="Z65" s="1">
        <f t="shared" si="96"/>
        <v>3019172123</v>
      </c>
      <c r="AA65" s="1">
        <f t="shared" si="97"/>
        <v>5</v>
      </c>
      <c r="AB65" s="1">
        <f>IF(COUNTIF(AA$54:AA65,AA65)&gt;1,1,0)</f>
        <v>0</v>
      </c>
      <c r="AC65" s="1">
        <f t="shared" si="98"/>
        <v>3019172123</v>
      </c>
      <c r="AD65" s="1">
        <f t="shared" si="99"/>
        <v>5</v>
      </c>
      <c r="AE65" s="1">
        <f>IF(COUNTIF(AD$54:AD65,AD65)&gt;1,1,0)</f>
        <v>0</v>
      </c>
      <c r="AF65" s="1">
        <f t="shared" si="100"/>
        <v>3019172123</v>
      </c>
      <c r="AG65" s="1">
        <f t="shared" si="101"/>
        <v>5</v>
      </c>
      <c r="AH65" s="1">
        <f>IF(COUNTIF(AG$54:AG65,AG65)&gt;1,1,0)</f>
        <v>0</v>
      </c>
      <c r="AI65" s="1">
        <f t="shared" si="102"/>
        <v>3019172123</v>
      </c>
      <c r="AJ65" s="1">
        <f t="shared" si="103"/>
        <v>5</v>
      </c>
      <c r="AK65" s="1">
        <f>IF(COUNTIF(AJ$54:AJ65,AJ65)&gt;1,1,0)</f>
        <v>0</v>
      </c>
      <c r="AL65" s="1">
        <f t="shared" si="104"/>
        <v>3019172123</v>
      </c>
      <c r="AM65" s="1">
        <f t="shared" si="105"/>
        <v>5</v>
      </c>
      <c r="AN65" s="1">
        <f>IF(COUNTIF(AM$54:AM65,AM65)&gt;1,1,0)</f>
        <v>0</v>
      </c>
      <c r="AO65" s="1">
        <f t="shared" si="106"/>
        <v>3019172123</v>
      </c>
      <c r="AP65" s="1">
        <f t="shared" si="107"/>
        <v>5</v>
      </c>
      <c r="AQ65" s="1">
        <f>IF(COUNTIF(AP$54:AP65,AP65)&gt;1,1,0)</f>
        <v>0</v>
      </c>
      <c r="AR65" s="1">
        <f t="shared" si="108"/>
        <v>3019172123</v>
      </c>
      <c r="AS65" s="1">
        <f t="shared" si="109"/>
        <v>5</v>
      </c>
      <c r="AT65" s="1">
        <f>IF(COUNTIF(AS$54:AS65,AS65)&gt;1,1,0)</f>
        <v>0</v>
      </c>
      <c r="AU65" s="1">
        <f t="shared" si="110"/>
        <v>3019172123</v>
      </c>
      <c r="AV65" s="1">
        <f t="shared" si="111"/>
        <v>5</v>
      </c>
      <c r="AW65" s="1">
        <f>IF(COUNTIF(AV$54:AV65,AV65)&gt;1,1,0)</f>
        <v>0</v>
      </c>
      <c r="AX65" s="1">
        <f t="shared" si="112"/>
        <v>3019172123</v>
      </c>
      <c r="AY65" s="1">
        <f t="shared" si="113"/>
        <v>5</v>
      </c>
      <c r="AZ65" s="1">
        <f>IF(COUNTIF(AY$54:AY65,AY65)&gt;1,1,0)</f>
        <v>0</v>
      </c>
      <c r="BA65" s="1">
        <f t="shared" si="114"/>
        <v>3019172123</v>
      </c>
      <c r="BB65" s="1">
        <f t="shared" si="115"/>
        <v>5</v>
      </c>
      <c r="BC65" s="1">
        <f>IF(COUNTIF(BB$54:BB65,BB65)&gt;1,1,0)</f>
        <v>0</v>
      </c>
      <c r="BD65" s="1">
        <f t="shared" si="116"/>
        <v>3019172123</v>
      </c>
      <c r="BE65" s="1">
        <f t="shared" si="117"/>
        <v>5</v>
      </c>
    </row>
    <row r="66" spans="1:10" ht="15">
      <c r="A66" t="s">
        <v>64</v>
      </c>
      <c r="B66">
        <v>64</v>
      </c>
      <c r="C66">
        <v>4</v>
      </c>
      <c r="D66" t="str">
        <f t="shared" si="119"/>
        <v>KSVH Berlin</v>
      </c>
      <c r="E66" t="str">
        <f t="shared" si="118"/>
        <v>B</v>
      </c>
      <c r="F66">
        <f t="shared" si="118"/>
        <v>3</v>
      </c>
      <c r="G66">
        <f t="shared" si="118"/>
        <v>2</v>
      </c>
      <c r="H66">
        <f t="shared" si="118"/>
        <v>0</v>
      </c>
      <c r="I66">
        <f t="shared" si="118"/>
        <v>24</v>
      </c>
      <c r="J66">
        <f t="shared" si="118"/>
        <v>9</v>
      </c>
    </row>
    <row r="67" spans="1:10" ht="15">
      <c r="A67" t="s">
        <v>64</v>
      </c>
      <c r="B67">
        <v>65</v>
      </c>
      <c r="C67">
        <v>5</v>
      </c>
      <c r="D67" t="str">
        <f t="shared" si="119"/>
        <v>ACC Hamburg</v>
      </c>
      <c r="E67" t="str">
        <f t="shared" si="118"/>
        <v>B</v>
      </c>
      <c r="F67">
        <f t="shared" si="118"/>
        <v>3</v>
      </c>
      <c r="G67">
        <f t="shared" si="118"/>
        <v>1</v>
      </c>
      <c r="H67">
        <f t="shared" si="118"/>
        <v>1</v>
      </c>
      <c r="I67">
        <f t="shared" si="118"/>
        <v>21</v>
      </c>
      <c r="J67">
        <f t="shared" si="118"/>
        <v>10</v>
      </c>
    </row>
    <row r="68" spans="1:15" ht="15">
      <c r="A68" t="s">
        <v>64</v>
      </c>
      <c r="B68">
        <v>66</v>
      </c>
      <c r="C68">
        <v>6</v>
      </c>
      <c r="D68" t="str">
        <f t="shared" si="119"/>
        <v>1. MKC Duisburg</v>
      </c>
      <c r="E68" t="str">
        <f t="shared" si="118"/>
        <v>A</v>
      </c>
      <c r="F68">
        <f t="shared" si="118"/>
        <v>2</v>
      </c>
      <c r="G68">
        <f t="shared" si="118"/>
        <v>1</v>
      </c>
      <c r="H68">
        <f t="shared" si="118"/>
        <v>2</v>
      </c>
      <c r="I68">
        <f t="shared" si="118"/>
        <v>14</v>
      </c>
      <c r="J68">
        <f t="shared" si="118"/>
        <v>10</v>
      </c>
      <c r="M68" t="s">
        <v>9</v>
      </c>
      <c r="N68">
        <v>1</v>
      </c>
      <c r="O68" t="str">
        <f aca="true" t="shared" si="120" ref="O68:O73">VLOOKUP(N68,$M$6:$O$11,3,FALSE)</f>
        <v>KRM Essen</v>
      </c>
    </row>
    <row r="69" spans="1:15" ht="15">
      <c r="A69" t="s">
        <v>64</v>
      </c>
      <c r="B69">
        <v>67</v>
      </c>
      <c r="C69">
        <v>7</v>
      </c>
      <c r="D69" t="str">
        <f t="shared" si="119"/>
        <v>KCNW Berlin</v>
      </c>
      <c r="E69" t="str">
        <f t="shared" si="118"/>
        <v>B</v>
      </c>
      <c r="F69">
        <f t="shared" si="118"/>
        <v>2</v>
      </c>
      <c r="G69">
        <f t="shared" si="118"/>
        <v>0</v>
      </c>
      <c r="H69">
        <f t="shared" si="118"/>
        <v>3</v>
      </c>
      <c r="I69">
        <f t="shared" si="118"/>
        <v>17</v>
      </c>
      <c r="J69">
        <f t="shared" si="118"/>
        <v>17</v>
      </c>
      <c r="M69" t="s">
        <v>9</v>
      </c>
      <c r="N69">
        <v>2</v>
      </c>
      <c r="O69" t="str">
        <f t="shared" si="120"/>
        <v>WSF Liblar</v>
      </c>
    </row>
    <row r="70" spans="1:15" ht="15">
      <c r="A70" t="s">
        <v>64</v>
      </c>
      <c r="B70">
        <v>68</v>
      </c>
      <c r="C70">
        <v>8</v>
      </c>
      <c r="D70" t="str">
        <f t="shared" si="119"/>
        <v>KC Wetter</v>
      </c>
      <c r="E70" t="str">
        <f t="shared" si="118"/>
        <v>A</v>
      </c>
      <c r="F70">
        <f t="shared" si="118"/>
        <v>1</v>
      </c>
      <c r="G70">
        <f t="shared" si="118"/>
        <v>2</v>
      </c>
      <c r="H70">
        <f t="shared" si="118"/>
        <v>2</v>
      </c>
      <c r="I70">
        <f t="shared" si="118"/>
        <v>15</v>
      </c>
      <c r="J70">
        <f t="shared" si="118"/>
        <v>22</v>
      </c>
      <c r="M70" t="s">
        <v>9</v>
      </c>
      <c r="N70">
        <v>3</v>
      </c>
      <c r="O70" t="str">
        <f t="shared" si="120"/>
        <v>1. MKC Duisburg</v>
      </c>
    </row>
    <row r="71" spans="1:15" ht="15">
      <c r="A71" t="s">
        <v>64</v>
      </c>
      <c r="B71">
        <v>69</v>
      </c>
      <c r="C71">
        <v>9</v>
      </c>
      <c r="D71" t="str">
        <f t="shared" si="119"/>
        <v>VK Berlin</v>
      </c>
      <c r="E71" t="str">
        <f t="shared" si="118"/>
        <v>B</v>
      </c>
      <c r="F71">
        <f t="shared" si="118"/>
        <v>1</v>
      </c>
      <c r="G71">
        <f t="shared" si="118"/>
        <v>0</v>
      </c>
      <c r="H71">
        <f t="shared" si="118"/>
        <v>4</v>
      </c>
      <c r="I71">
        <f t="shared" si="118"/>
        <v>10</v>
      </c>
      <c r="J71">
        <f t="shared" si="118"/>
        <v>18</v>
      </c>
      <c r="M71" t="s">
        <v>9</v>
      </c>
      <c r="N71">
        <v>4</v>
      </c>
      <c r="O71" t="str">
        <f t="shared" si="120"/>
        <v>KGW Essen</v>
      </c>
    </row>
    <row r="72" spans="1:15" ht="15">
      <c r="A72" t="s">
        <v>64</v>
      </c>
      <c r="B72">
        <v>70</v>
      </c>
      <c r="C72">
        <v>10</v>
      </c>
      <c r="D72" t="str">
        <f t="shared" si="119"/>
        <v>KGW Essen</v>
      </c>
      <c r="E72" t="str">
        <f t="shared" si="118"/>
        <v>A</v>
      </c>
      <c r="F72">
        <f t="shared" si="118"/>
        <v>0</v>
      </c>
      <c r="G72">
        <f t="shared" si="118"/>
        <v>2</v>
      </c>
      <c r="H72">
        <f t="shared" si="118"/>
        <v>3</v>
      </c>
      <c r="I72">
        <f t="shared" si="118"/>
        <v>13</v>
      </c>
      <c r="J72">
        <f t="shared" si="118"/>
        <v>20</v>
      </c>
      <c r="M72" t="s">
        <v>9</v>
      </c>
      <c r="N72">
        <v>5</v>
      </c>
      <c r="O72" t="str">
        <f t="shared" si="120"/>
        <v>KC Wetter</v>
      </c>
    </row>
    <row r="73" spans="1:15" ht="15">
      <c r="A73" t="s">
        <v>64</v>
      </c>
      <c r="B73">
        <v>71</v>
      </c>
      <c r="C73">
        <v>11</v>
      </c>
      <c r="D73" t="str">
        <f t="shared" si="119"/>
        <v>Göttinger PC</v>
      </c>
      <c r="E73" t="str">
        <f t="shared" si="118"/>
        <v>A</v>
      </c>
      <c r="F73">
        <f t="shared" si="118"/>
        <v>0</v>
      </c>
      <c r="G73">
        <f t="shared" si="118"/>
        <v>1</v>
      </c>
      <c r="H73">
        <f t="shared" si="118"/>
        <v>4</v>
      </c>
      <c r="I73">
        <f t="shared" si="118"/>
        <v>8</v>
      </c>
      <c r="J73">
        <f t="shared" si="118"/>
        <v>25</v>
      </c>
      <c r="M73" t="s">
        <v>9</v>
      </c>
      <c r="N73">
        <v>6</v>
      </c>
      <c r="O73" t="str">
        <f t="shared" si="120"/>
        <v>Göttinger PC</v>
      </c>
    </row>
    <row r="74" spans="1:15" ht="15">
      <c r="A74" t="s">
        <v>64</v>
      </c>
      <c r="B74">
        <v>72</v>
      </c>
      <c r="C74">
        <v>12</v>
      </c>
      <c r="D74" t="str">
        <f t="shared" si="119"/>
        <v>KSV Glauchau</v>
      </c>
      <c r="E74" t="str">
        <f t="shared" si="118"/>
        <v>B</v>
      </c>
      <c r="F74">
        <f t="shared" si="118"/>
        <v>0</v>
      </c>
      <c r="G74">
        <f t="shared" si="118"/>
        <v>0</v>
      </c>
      <c r="H74">
        <f t="shared" si="118"/>
        <v>5</v>
      </c>
      <c r="I74">
        <f t="shared" si="118"/>
        <v>8</v>
      </c>
      <c r="J74">
        <f t="shared" si="118"/>
        <v>33</v>
      </c>
      <c r="M74" t="s">
        <v>10</v>
      </c>
      <c r="N74">
        <v>1</v>
      </c>
      <c r="O74" t="str">
        <f aca="true" t="shared" si="121" ref="O74:O79">VLOOKUP(N74,$M$12:$O$17,3,FALSE)</f>
        <v>RSV Hannover</v>
      </c>
    </row>
    <row r="75" spans="1:15" ht="15">
      <c r="A75" t="s">
        <v>72</v>
      </c>
      <c r="B75">
        <v>73</v>
      </c>
      <c r="C75">
        <v>1</v>
      </c>
      <c r="D75" t="str">
        <f>VLOOKUP($C75,$N$38:$U$49,D$1,FALSE)</f>
        <v>KRM Essen</v>
      </c>
      <c r="E75" t="str">
        <f aca="true" t="shared" si="122" ref="E75:J86">VLOOKUP($C75,$N$38:$U$49,E$1,FALSE)</f>
        <v>A</v>
      </c>
      <c r="F75">
        <f t="shared" si="122"/>
        <v>13</v>
      </c>
      <c r="G75">
        <f t="shared" si="122"/>
        <v>2</v>
      </c>
      <c r="H75">
        <f t="shared" si="122"/>
        <v>1</v>
      </c>
      <c r="I75">
        <f t="shared" si="122"/>
        <v>86</v>
      </c>
      <c r="J75">
        <f t="shared" si="122"/>
        <v>33</v>
      </c>
      <c r="M75" t="s">
        <v>10</v>
      </c>
      <c r="N75">
        <v>2</v>
      </c>
      <c r="O75" t="str">
        <f t="shared" si="121"/>
        <v>ACC Hamburg</v>
      </c>
    </row>
    <row r="76" spans="1:15" ht="15">
      <c r="A76" t="s">
        <v>72</v>
      </c>
      <c r="B76">
        <v>74</v>
      </c>
      <c r="C76">
        <v>2</v>
      </c>
      <c r="D76" t="str">
        <f aca="true" t="shared" si="123" ref="D76:D86">VLOOKUP($C76,$N$38:$U$49,D$1,FALSE)</f>
        <v>WSF Liblar</v>
      </c>
      <c r="E76" t="str">
        <f t="shared" si="122"/>
        <v>A</v>
      </c>
      <c r="F76">
        <f t="shared" si="122"/>
        <v>13</v>
      </c>
      <c r="G76">
        <f t="shared" si="122"/>
        <v>2</v>
      </c>
      <c r="H76">
        <f t="shared" si="122"/>
        <v>1</v>
      </c>
      <c r="I76">
        <f t="shared" si="122"/>
        <v>65</v>
      </c>
      <c r="J76">
        <f t="shared" si="122"/>
        <v>34</v>
      </c>
      <c r="M76" t="s">
        <v>10</v>
      </c>
      <c r="N76">
        <v>3</v>
      </c>
      <c r="O76" t="str">
        <f t="shared" si="121"/>
        <v>KCNW Berlin</v>
      </c>
    </row>
    <row r="77" spans="1:15" ht="15">
      <c r="A77" t="s">
        <v>72</v>
      </c>
      <c r="B77">
        <v>75</v>
      </c>
      <c r="C77">
        <v>3</v>
      </c>
      <c r="D77" t="str">
        <f t="shared" si="123"/>
        <v>RSV Hannover</v>
      </c>
      <c r="E77" t="str">
        <f t="shared" si="122"/>
        <v>B</v>
      </c>
      <c r="F77">
        <f t="shared" si="122"/>
        <v>11</v>
      </c>
      <c r="G77">
        <f t="shared" si="122"/>
        <v>2</v>
      </c>
      <c r="H77">
        <f t="shared" si="122"/>
        <v>3</v>
      </c>
      <c r="I77">
        <f t="shared" si="122"/>
        <v>57</v>
      </c>
      <c r="J77">
        <f t="shared" si="122"/>
        <v>36</v>
      </c>
      <c r="M77" t="s">
        <v>10</v>
      </c>
      <c r="N77">
        <v>4</v>
      </c>
      <c r="O77" t="str">
        <f t="shared" si="121"/>
        <v>KSVH Berlin</v>
      </c>
    </row>
    <row r="78" spans="1:15" ht="15">
      <c r="A78" t="s">
        <v>72</v>
      </c>
      <c r="B78">
        <v>76</v>
      </c>
      <c r="C78">
        <v>4</v>
      </c>
      <c r="D78" t="str">
        <f t="shared" si="123"/>
        <v>ACC Hamburg</v>
      </c>
      <c r="E78" t="str">
        <f t="shared" si="122"/>
        <v>B</v>
      </c>
      <c r="F78">
        <f t="shared" si="122"/>
        <v>10</v>
      </c>
      <c r="G78">
        <f t="shared" si="122"/>
        <v>2</v>
      </c>
      <c r="H78">
        <f t="shared" si="122"/>
        <v>4</v>
      </c>
      <c r="I78">
        <f t="shared" si="122"/>
        <v>65</v>
      </c>
      <c r="J78">
        <f t="shared" si="122"/>
        <v>43</v>
      </c>
      <c r="M78" t="s">
        <v>10</v>
      </c>
      <c r="N78">
        <v>5</v>
      </c>
      <c r="O78" t="str">
        <f t="shared" si="121"/>
        <v>VK Berlin</v>
      </c>
    </row>
    <row r="79" spans="1:15" ht="15">
      <c r="A79" t="s">
        <v>72</v>
      </c>
      <c r="B79">
        <v>77</v>
      </c>
      <c r="C79">
        <v>5</v>
      </c>
      <c r="D79" t="str">
        <f t="shared" si="123"/>
        <v>KSVH Berlin</v>
      </c>
      <c r="E79" t="str">
        <f t="shared" si="122"/>
        <v>B</v>
      </c>
      <c r="F79">
        <f t="shared" si="122"/>
        <v>9</v>
      </c>
      <c r="G79">
        <f t="shared" si="122"/>
        <v>3</v>
      </c>
      <c r="H79">
        <f t="shared" si="122"/>
        <v>4</v>
      </c>
      <c r="I79">
        <f t="shared" si="122"/>
        <v>65</v>
      </c>
      <c r="J79">
        <f t="shared" si="122"/>
        <v>44</v>
      </c>
      <c r="M79" t="s">
        <v>10</v>
      </c>
      <c r="N79">
        <v>6</v>
      </c>
      <c r="O79" t="str">
        <f t="shared" si="121"/>
        <v>KSV Glauchau</v>
      </c>
    </row>
    <row r="80" spans="1:10" ht="15">
      <c r="A80" t="s">
        <v>72</v>
      </c>
      <c r="B80">
        <v>78</v>
      </c>
      <c r="C80">
        <v>6</v>
      </c>
      <c r="D80" t="str">
        <f t="shared" si="123"/>
        <v>1. MKC Duisburg</v>
      </c>
      <c r="E80" t="str">
        <f t="shared" si="122"/>
        <v>A</v>
      </c>
      <c r="F80">
        <f t="shared" si="122"/>
        <v>7</v>
      </c>
      <c r="G80">
        <f t="shared" si="122"/>
        <v>4</v>
      </c>
      <c r="H80">
        <f t="shared" si="122"/>
        <v>5</v>
      </c>
      <c r="I80">
        <f t="shared" si="122"/>
        <v>56</v>
      </c>
      <c r="J80">
        <f t="shared" si="122"/>
        <v>41</v>
      </c>
    </row>
    <row r="81" spans="1:10" ht="15">
      <c r="A81" t="s">
        <v>72</v>
      </c>
      <c r="B81">
        <v>79</v>
      </c>
      <c r="C81">
        <v>7</v>
      </c>
      <c r="D81" t="str">
        <f t="shared" si="123"/>
        <v>KCNW Berlin</v>
      </c>
      <c r="E81" t="str">
        <f t="shared" si="122"/>
        <v>B</v>
      </c>
      <c r="F81">
        <f t="shared" si="122"/>
        <v>8</v>
      </c>
      <c r="G81">
        <f t="shared" si="122"/>
        <v>1</v>
      </c>
      <c r="H81">
        <f t="shared" si="122"/>
        <v>7</v>
      </c>
      <c r="I81">
        <f t="shared" si="122"/>
        <v>53</v>
      </c>
      <c r="J81">
        <f t="shared" si="122"/>
        <v>44</v>
      </c>
    </row>
    <row r="82" spans="1:23" ht="15">
      <c r="A82" t="s">
        <v>72</v>
      </c>
      <c r="B82">
        <v>80</v>
      </c>
      <c r="C82">
        <v>8</v>
      </c>
      <c r="D82" t="str">
        <f t="shared" si="123"/>
        <v>KGW Essen</v>
      </c>
      <c r="E82" t="str">
        <f t="shared" si="122"/>
        <v>A</v>
      </c>
      <c r="F82">
        <f t="shared" si="122"/>
        <v>3</v>
      </c>
      <c r="G82">
        <f t="shared" si="122"/>
        <v>6</v>
      </c>
      <c r="H82">
        <f t="shared" si="122"/>
        <v>7</v>
      </c>
      <c r="I82">
        <f t="shared" si="122"/>
        <v>37</v>
      </c>
      <c r="J82">
        <f t="shared" si="122"/>
        <v>50</v>
      </c>
      <c r="P82" t="s">
        <v>1</v>
      </c>
      <c r="Q82" t="s">
        <v>73</v>
      </c>
      <c r="R82" t="s">
        <v>3</v>
      </c>
      <c r="S82" t="s">
        <v>74</v>
      </c>
      <c r="W82" t="s">
        <v>115</v>
      </c>
    </row>
    <row r="83" spans="1:23" ht="15">
      <c r="A83" t="s">
        <v>72</v>
      </c>
      <c r="B83">
        <v>81</v>
      </c>
      <c r="C83">
        <v>9</v>
      </c>
      <c r="D83" t="str">
        <f t="shared" si="123"/>
        <v>VK Berlin</v>
      </c>
      <c r="E83" t="str">
        <f t="shared" si="122"/>
        <v>B</v>
      </c>
      <c r="F83">
        <f t="shared" si="122"/>
        <v>3</v>
      </c>
      <c r="G83">
        <f t="shared" si="122"/>
        <v>3</v>
      </c>
      <c r="H83">
        <f t="shared" si="122"/>
        <v>10</v>
      </c>
      <c r="I83">
        <f t="shared" si="122"/>
        <v>45</v>
      </c>
      <c r="J83">
        <f t="shared" si="122"/>
        <v>65</v>
      </c>
      <c r="O83" t="str">
        <f aca="true" t="shared" si="124" ref="O83:O94">O38</f>
        <v>KRM Essen</v>
      </c>
      <c r="P83">
        <f>'1.Spieltag'!AD40</f>
        <v>1</v>
      </c>
      <c r="Q83">
        <f aca="true" t="shared" si="125" ref="Q83:Q94">N6</f>
        <v>1</v>
      </c>
      <c r="R83">
        <f aca="true" t="shared" si="126" ref="R83:R94">N54</f>
        <v>1</v>
      </c>
      <c r="S83">
        <f aca="true" t="shared" si="127" ref="S83:S94">N38</f>
        <v>1</v>
      </c>
      <c r="W83">
        <v>0</v>
      </c>
    </row>
    <row r="84" spans="1:23" ht="15">
      <c r="A84" t="s">
        <v>72</v>
      </c>
      <c r="B84">
        <v>82</v>
      </c>
      <c r="C84">
        <v>10</v>
      </c>
      <c r="D84" t="str">
        <f t="shared" si="123"/>
        <v>KC Wetter</v>
      </c>
      <c r="E84" t="str">
        <f t="shared" si="122"/>
        <v>A</v>
      </c>
      <c r="F84">
        <f t="shared" si="122"/>
        <v>2</v>
      </c>
      <c r="G84">
        <f t="shared" si="122"/>
        <v>4</v>
      </c>
      <c r="H84">
        <f t="shared" si="122"/>
        <v>10</v>
      </c>
      <c r="I84">
        <f t="shared" si="122"/>
        <v>41</v>
      </c>
      <c r="J84">
        <f t="shared" si="122"/>
        <v>78</v>
      </c>
      <c r="O84" t="str">
        <f t="shared" si="124"/>
        <v>WSF Liblar</v>
      </c>
      <c r="P84">
        <f>'1.Spieltag'!AD41</f>
        <v>5</v>
      </c>
      <c r="Q84">
        <f t="shared" si="125"/>
        <v>2</v>
      </c>
      <c r="R84">
        <f t="shared" si="126"/>
        <v>2</v>
      </c>
      <c r="S84">
        <f t="shared" si="127"/>
        <v>2</v>
      </c>
      <c r="W84">
        <v>1</v>
      </c>
    </row>
    <row r="85" spans="1:23" ht="15">
      <c r="A85" t="s">
        <v>72</v>
      </c>
      <c r="B85">
        <v>83</v>
      </c>
      <c r="C85">
        <v>11</v>
      </c>
      <c r="D85" t="str">
        <f t="shared" si="123"/>
        <v>Göttinger PC</v>
      </c>
      <c r="E85" t="str">
        <f t="shared" si="122"/>
        <v>A</v>
      </c>
      <c r="F85">
        <f t="shared" si="122"/>
        <v>1</v>
      </c>
      <c r="G85">
        <f t="shared" si="122"/>
        <v>2</v>
      </c>
      <c r="H85">
        <f t="shared" si="122"/>
        <v>13</v>
      </c>
      <c r="I85">
        <f t="shared" si="122"/>
        <v>38</v>
      </c>
      <c r="J85">
        <f t="shared" si="122"/>
        <v>81</v>
      </c>
      <c r="O85" t="str">
        <f t="shared" si="124"/>
        <v>1. MKC Duisburg</v>
      </c>
      <c r="P85">
        <f>'1.Spieltag'!AD42</f>
        <v>4</v>
      </c>
      <c r="Q85">
        <f t="shared" si="125"/>
        <v>7</v>
      </c>
      <c r="R85">
        <f t="shared" si="126"/>
        <v>6</v>
      </c>
      <c r="S85">
        <f t="shared" si="127"/>
        <v>6</v>
      </c>
      <c r="W85">
        <v>2</v>
      </c>
    </row>
    <row r="86" spans="1:23" ht="15">
      <c r="A86" t="s">
        <v>72</v>
      </c>
      <c r="B86">
        <v>84</v>
      </c>
      <c r="C86">
        <v>12</v>
      </c>
      <c r="D86" t="str">
        <f t="shared" si="123"/>
        <v>KSV Glauchau</v>
      </c>
      <c r="E86" t="str">
        <f t="shared" si="122"/>
        <v>B</v>
      </c>
      <c r="F86">
        <f t="shared" si="122"/>
        <v>0</v>
      </c>
      <c r="G86">
        <f t="shared" si="122"/>
        <v>1</v>
      </c>
      <c r="H86">
        <f t="shared" si="122"/>
        <v>15</v>
      </c>
      <c r="I86">
        <f t="shared" si="122"/>
        <v>30</v>
      </c>
      <c r="J86">
        <f t="shared" si="122"/>
        <v>89</v>
      </c>
      <c r="O86" t="str">
        <f t="shared" si="124"/>
        <v>KC Wetter</v>
      </c>
      <c r="P86">
        <f>'1.Spieltag'!AD43</f>
        <v>10</v>
      </c>
      <c r="Q86">
        <f t="shared" si="125"/>
        <v>10</v>
      </c>
      <c r="R86">
        <f t="shared" si="126"/>
        <v>10</v>
      </c>
      <c r="S86">
        <f t="shared" si="127"/>
        <v>10</v>
      </c>
      <c r="W86">
        <v>3</v>
      </c>
    </row>
    <row r="87" spans="15:23" ht="15">
      <c r="O87" t="str">
        <f t="shared" si="124"/>
        <v>KGW Essen</v>
      </c>
      <c r="P87">
        <f>'1.Spieltag'!AD44</f>
        <v>8</v>
      </c>
      <c r="Q87">
        <f t="shared" si="125"/>
        <v>8</v>
      </c>
      <c r="R87">
        <f t="shared" si="126"/>
        <v>8</v>
      </c>
      <c r="S87">
        <f t="shared" si="127"/>
        <v>8</v>
      </c>
      <c r="W87">
        <v>4</v>
      </c>
    </row>
    <row r="88" spans="15:23" ht="15">
      <c r="O88" t="str">
        <f t="shared" si="124"/>
        <v>Göttinger PC</v>
      </c>
      <c r="P88">
        <f>'1.Spieltag'!AD45</f>
        <v>12</v>
      </c>
      <c r="Q88">
        <f t="shared" si="125"/>
        <v>11</v>
      </c>
      <c r="R88">
        <f t="shared" si="126"/>
        <v>11</v>
      </c>
      <c r="S88">
        <f t="shared" si="127"/>
        <v>11</v>
      </c>
      <c r="W88">
        <v>5</v>
      </c>
    </row>
    <row r="89" spans="15:23" ht="15">
      <c r="O89" t="str">
        <f t="shared" si="124"/>
        <v>ACC Hamburg</v>
      </c>
      <c r="P89">
        <f>'1.Spieltag'!AD46</f>
        <v>7</v>
      </c>
      <c r="Q89">
        <f t="shared" si="125"/>
        <v>4</v>
      </c>
      <c r="R89">
        <f t="shared" si="126"/>
        <v>4</v>
      </c>
      <c r="S89">
        <f t="shared" si="127"/>
        <v>4</v>
      </c>
      <c r="W89">
        <v>6</v>
      </c>
    </row>
    <row r="90" spans="15:23" ht="15">
      <c r="O90" t="str">
        <f t="shared" si="124"/>
        <v>KCNW Berlin</v>
      </c>
      <c r="P90">
        <f>'1.Spieltag'!AD47</f>
        <v>6</v>
      </c>
      <c r="Q90">
        <f t="shared" si="125"/>
        <v>5</v>
      </c>
      <c r="R90">
        <f t="shared" si="126"/>
        <v>7</v>
      </c>
      <c r="S90">
        <f t="shared" si="127"/>
        <v>7</v>
      </c>
      <c r="W90">
        <v>7</v>
      </c>
    </row>
    <row r="91" spans="15:23" ht="15">
      <c r="O91" t="str">
        <f t="shared" si="124"/>
        <v>RSV Hannover</v>
      </c>
      <c r="P91">
        <f>'1.Spieltag'!AD48</f>
        <v>2</v>
      </c>
      <c r="Q91">
        <f t="shared" si="125"/>
        <v>3</v>
      </c>
      <c r="R91">
        <f t="shared" si="126"/>
        <v>3</v>
      </c>
      <c r="S91">
        <f t="shared" si="127"/>
        <v>3</v>
      </c>
      <c r="W91">
        <v>8</v>
      </c>
    </row>
    <row r="92" spans="15:23" ht="15">
      <c r="O92" t="str">
        <f t="shared" si="124"/>
        <v>VK Berlin</v>
      </c>
      <c r="P92">
        <f>'1.Spieltag'!AD49</f>
        <v>9</v>
      </c>
      <c r="Q92">
        <f t="shared" si="125"/>
        <v>9</v>
      </c>
      <c r="R92">
        <f t="shared" si="126"/>
        <v>9</v>
      </c>
      <c r="S92">
        <f t="shared" si="127"/>
        <v>9</v>
      </c>
      <c r="W92">
        <v>9</v>
      </c>
    </row>
    <row r="93" spans="15:23" ht="15">
      <c r="O93" t="str">
        <f t="shared" si="124"/>
        <v>KSV Glauchau</v>
      </c>
      <c r="P93">
        <f>'1.Spieltag'!AD50</f>
        <v>11</v>
      </c>
      <c r="Q93">
        <f t="shared" si="125"/>
        <v>12</v>
      </c>
      <c r="R93">
        <f t="shared" si="126"/>
        <v>12</v>
      </c>
      <c r="S93">
        <f t="shared" si="127"/>
        <v>12</v>
      </c>
      <c r="W93">
        <v>10</v>
      </c>
    </row>
    <row r="94" spans="15:23" ht="15">
      <c r="O94" t="str">
        <f t="shared" si="124"/>
        <v>KSVH Berlin</v>
      </c>
      <c r="P94">
        <f>'1.Spieltag'!AD51</f>
        <v>3</v>
      </c>
      <c r="Q94">
        <f t="shared" si="125"/>
        <v>6</v>
      </c>
      <c r="R94">
        <f t="shared" si="126"/>
        <v>5</v>
      </c>
      <c r="S94">
        <f t="shared" si="127"/>
        <v>5</v>
      </c>
      <c r="W94">
        <v>11</v>
      </c>
    </row>
  </sheetData>
  <sheetProtection sheet="1" objects="1" scenarios="1" selectLockedCells="1"/>
  <mergeCells count="4">
    <mergeCell ref="W5:Z5"/>
    <mergeCell ref="W21:Z21"/>
    <mergeCell ref="W37:Z37"/>
    <mergeCell ref="W53:Z5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S64"/>
  <sheetViews>
    <sheetView showGridLines="0" showRowColHeaders="0" view="pageLayout" showRuler="0" zoomScale="70" zoomScaleNormal="70" zoomScalePageLayoutView="70" workbookViewId="0" topLeftCell="A1">
      <selection activeCell="D11" sqref="D11:E11"/>
    </sheetView>
  </sheetViews>
  <sheetFormatPr defaultColWidth="11.421875" defaultRowHeight="15"/>
  <cols>
    <col min="1" max="1" width="11.421875" style="75" customWidth="1"/>
    <col min="2" max="2" width="4.8515625" style="75" customWidth="1"/>
    <col min="3" max="3" width="15.7109375" style="75" customWidth="1"/>
    <col min="4" max="4" width="4.00390625" style="75" customWidth="1"/>
    <col min="5" max="5" width="19.00390625" style="75" customWidth="1"/>
    <col min="6" max="6" width="4.7109375" style="75" customWidth="1"/>
    <col min="7" max="7" width="15.7109375" style="75" customWidth="1"/>
    <col min="8" max="8" width="4.00390625" style="75" customWidth="1"/>
    <col min="9" max="9" width="19.00390625" style="75" customWidth="1"/>
    <col min="10" max="10" width="3.57421875" style="75" customWidth="1"/>
    <col min="11" max="11" width="6.140625" style="75" customWidth="1"/>
    <col min="12" max="12" width="25.00390625" style="75" customWidth="1"/>
    <col min="13" max="13" width="5.140625" style="75" customWidth="1"/>
    <col min="14" max="14" width="1.57421875" style="75" customWidth="1"/>
    <col min="15" max="15" width="5.140625" style="75" customWidth="1"/>
    <col min="16" max="16" width="25.00390625" style="75" customWidth="1"/>
    <col min="17" max="19" width="14.8515625" style="75" customWidth="1"/>
    <col min="20" max="16384" width="11.421875" style="75" customWidth="1"/>
  </cols>
  <sheetData>
    <row r="2" spans="2:19" ht="16.5">
      <c r="B2" s="276" t="s">
        <v>77</v>
      </c>
      <c r="C2" s="276"/>
      <c r="D2" s="276"/>
      <c r="E2" s="276"/>
      <c r="F2" s="276"/>
      <c r="L2" s="76" t="s">
        <v>105</v>
      </c>
      <c r="M2" s="296" t="s">
        <v>43</v>
      </c>
      <c r="N2" s="296"/>
      <c r="O2" s="296"/>
      <c r="P2" s="77" t="s">
        <v>106</v>
      </c>
      <c r="Q2" s="298" t="s">
        <v>109</v>
      </c>
      <c r="R2" s="299"/>
      <c r="S2" s="299"/>
    </row>
    <row r="3" spans="2:19" ht="20.25">
      <c r="B3" s="276"/>
      <c r="C3" s="276"/>
      <c r="D3" s="276"/>
      <c r="E3" s="276"/>
      <c r="F3" s="276"/>
      <c r="L3" s="78" t="str">
        <f>B39</f>
        <v>KRM Essen</v>
      </c>
      <c r="M3" s="297"/>
      <c r="N3" s="297"/>
      <c r="O3" s="297"/>
      <c r="P3" s="79" t="str">
        <f>F39</f>
        <v>KGW Essen</v>
      </c>
      <c r="Q3" s="299"/>
      <c r="R3" s="299"/>
      <c r="S3" s="299"/>
    </row>
    <row r="4" spans="2:19" ht="16.5">
      <c r="B4" s="276" t="s">
        <v>78</v>
      </c>
      <c r="C4" s="276"/>
      <c r="D4" s="276"/>
      <c r="E4" s="276"/>
      <c r="F4" s="276"/>
      <c r="K4" s="80" t="s">
        <v>80</v>
      </c>
      <c r="L4" s="80" t="s">
        <v>81</v>
      </c>
      <c r="M4" s="280" t="s">
        <v>82</v>
      </c>
      <c r="N4" s="280"/>
      <c r="O4" s="280"/>
      <c r="P4" s="80" t="s">
        <v>81</v>
      </c>
      <c r="Q4" s="299"/>
      <c r="R4" s="299"/>
      <c r="S4" s="299"/>
    </row>
    <row r="5" spans="2:19" ht="16.5">
      <c r="B5" s="276"/>
      <c r="C5" s="276"/>
      <c r="D5" s="276"/>
      <c r="E5" s="276"/>
      <c r="F5" s="276"/>
      <c r="K5" s="80"/>
      <c r="L5" s="80"/>
      <c r="M5" s="280" t="s">
        <v>43</v>
      </c>
      <c r="N5" s="280"/>
      <c r="O5" s="280"/>
      <c r="P5" s="80"/>
      <c r="Q5" s="280"/>
      <c r="R5" s="280"/>
      <c r="S5" s="280"/>
    </row>
    <row r="6" spans="2:19" ht="16.5">
      <c r="B6" s="300" t="s">
        <v>79</v>
      </c>
      <c r="C6" s="300"/>
      <c r="D6" s="300"/>
      <c r="E6" s="300"/>
      <c r="F6" s="300"/>
      <c r="K6" s="80"/>
      <c r="L6" s="80"/>
      <c r="M6" s="280" t="s">
        <v>43</v>
      </c>
      <c r="N6" s="280"/>
      <c r="O6" s="280"/>
      <c r="P6" s="80"/>
      <c r="Q6" s="280"/>
      <c r="R6" s="280"/>
      <c r="S6" s="280"/>
    </row>
    <row r="7" spans="11:19" ht="16.5" customHeight="1">
      <c r="K7" s="80"/>
      <c r="L7" s="80"/>
      <c r="M7" s="280" t="s">
        <v>43</v>
      </c>
      <c r="N7" s="280"/>
      <c r="O7" s="280"/>
      <c r="P7" s="80"/>
      <c r="Q7" s="280"/>
      <c r="R7" s="280"/>
      <c r="S7" s="280"/>
    </row>
    <row r="8" spans="2:19" ht="16.5" customHeight="1">
      <c r="B8" s="277" t="s">
        <v>83</v>
      </c>
      <c r="C8" s="277"/>
      <c r="D8" s="277" t="str">
        <f>"Herren Saison "&amp;Saisondaten!B3</f>
        <v>Herren Saison 2018</v>
      </c>
      <c r="E8" s="277"/>
      <c r="F8" s="277"/>
      <c r="G8" s="277" t="str">
        <f>VLOOKUP($D$11,SpieleDB!$A$2:$J$217,8,FALSE)</f>
        <v>1. Spieltag</v>
      </c>
      <c r="H8" s="327" t="str">
        <f>"in "&amp;VLOOKUP($D$11,SpieleDB!$A$2:$J$217,9,FALSE)</f>
        <v>in Liblar</v>
      </c>
      <c r="I8" s="327"/>
      <c r="K8" s="80"/>
      <c r="L8" s="80"/>
      <c r="M8" s="280" t="s">
        <v>43</v>
      </c>
      <c r="N8" s="280"/>
      <c r="O8" s="280"/>
      <c r="P8" s="80"/>
      <c r="Q8" s="280"/>
      <c r="R8" s="280"/>
      <c r="S8" s="280"/>
    </row>
    <row r="9" spans="2:19" ht="16.5" customHeight="1">
      <c r="B9" s="277"/>
      <c r="C9" s="277"/>
      <c r="D9" s="277"/>
      <c r="E9" s="277"/>
      <c r="F9" s="277"/>
      <c r="G9" s="277"/>
      <c r="H9" s="327">
        <f>VLOOKUP($D$11,SpieleDB!$A$2:$J$217,10,FALSE)</f>
        <v>43225</v>
      </c>
      <c r="I9" s="327"/>
      <c r="K9" s="80"/>
      <c r="L9" s="80"/>
      <c r="M9" s="280" t="s">
        <v>43</v>
      </c>
      <c r="N9" s="280"/>
      <c r="O9" s="280"/>
      <c r="P9" s="80"/>
      <c r="Q9" s="280"/>
      <c r="R9" s="280"/>
      <c r="S9" s="280"/>
    </row>
    <row r="10" spans="11:19" ht="16.5">
      <c r="K10" s="80"/>
      <c r="L10" s="80"/>
      <c r="M10" s="280" t="s">
        <v>43</v>
      </c>
      <c r="N10" s="280"/>
      <c r="O10" s="280"/>
      <c r="P10" s="80"/>
      <c r="Q10" s="280"/>
      <c r="R10" s="280"/>
      <c r="S10" s="280"/>
    </row>
    <row r="11" spans="2:19" ht="16.5">
      <c r="B11" s="279" t="s">
        <v>84</v>
      </c>
      <c r="C11" s="279"/>
      <c r="D11" s="328">
        <v>1</v>
      </c>
      <c r="E11" s="328"/>
      <c r="G11" s="310" t="s">
        <v>112</v>
      </c>
      <c r="H11" s="311"/>
      <c r="I11" s="312"/>
      <c r="K11" s="80"/>
      <c r="L11" s="80"/>
      <c r="M11" s="280" t="s">
        <v>43</v>
      </c>
      <c r="N11" s="280"/>
      <c r="O11" s="280"/>
      <c r="P11" s="80"/>
      <c r="Q11" s="280"/>
      <c r="R11" s="280"/>
      <c r="S11" s="280"/>
    </row>
    <row r="12" spans="2:19" ht="16.5">
      <c r="B12" s="279" t="s">
        <v>85</v>
      </c>
      <c r="C12" s="279"/>
      <c r="D12" s="329">
        <f>VLOOKUP($D$11,SpieleDB!$A$2:$J$217,4,FALSE)</f>
        <v>0.4166666666666667</v>
      </c>
      <c r="E12" s="329"/>
      <c r="G12" s="313"/>
      <c r="H12" s="314"/>
      <c r="I12" s="315"/>
      <c r="K12" s="80"/>
      <c r="L12" s="80"/>
      <c r="M12" s="280" t="s">
        <v>43</v>
      </c>
      <c r="N12" s="280"/>
      <c r="O12" s="280"/>
      <c r="P12" s="80"/>
      <c r="Q12" s="280"/>
      <c r="R12" s="280"/>
      <c r="S12" s="280"/>
    </row>
    <row r="13" spans="2:19" ht="16.5">
      <c r="B13" s="279" t="s">
        <v>86</v>
      </c>
      <c r="C13" s="279"/>
      <c r="D13" s="280">
        <f>VLOOKUP($D$11,SpieleDB!$A$2:$J$217,3,FALSE)</f>
        <v>1</v>
      </c>
      <c r="E13" s="280"/>
      <c r="G13" s="287"/>
      <c r="H13" s="288"/>
      <c r="I13" s="289"/>
      <c r="K13" s="80"/>
      <c r="L13" s="80"/>
      <c r="M13" s="280" t="s">
        <v>43</v>
      </c>
      <c r="N13" s="280"/>
      <c r="O13" s="280"/>
      <c r="P13" s="80"/>
      <c r="Q13" s="280"/>
      <c r="R13" s="280"/>
      <c r="S13" s="280"/>
    </row>
    <row r="14" spans="2:19" ht="16.5">
      <c r="B14" s="279" t="s">
        <v>8</v>
      </c>
      <c r="C14" s="279"/>
      <c r="D14" s="280" t="str">
        <f>VLOOKUP($D$11,SpieleDB!$A$2:$J$217,5,FALSE)</f>
        <v>A</v>
      </c>
      <c r="E14" s="280"/>
      <c r="G14" s="290"/>
      <c r="H14" s="291"/>
      <c r="I14" s="292"/>
      <c r="K14" s="80"/>
      <c r="L14" s="80"/>
      <c r="M14" s="280" t="s">
        <v>43</v>
      </c>
      <c r="N14" s="280"/>
      <c r="O14" s="280"/>
      <c r="P14" s="80"/>
      <c r="Q14" s="280"/>
      <c r="R14" s="280"/>
      <c r="S14" s="280"/>
    </row>
    <row r="15" spans="2:19" ht="16.5">
      <c r="B15" s="279" t="s">
        <v>87</v>
      </c>
      <c r="C15" s="279"/>
      <c r="D15" s="278">
        <f>VLOOKUP($D$11,SpieleDB!$A$2:$J$217,10,FALSE)</f>
        <v>43225</v>
      </c>
      <c r="E15" s="278"/>
      <c r="G15" s="290"/>
      <c r="H15" s="291"/>
      <c r="I15" s="292"/>
      <c r="K15" s="80"/>
      <c r="L15" s="80"/>
      <c r="M15" s="280" t="s">
        <v>43</v>
      </c>
      <c r="N15" s="280"/>
      <c r="O15" s="280"/>
      <c r="P15" s="80"/>
      <c r="Q15" s="280"/>
      <c r="R15" s="280"/>
      <c r="S15" s="280"/>
    </row>
    <row r="16" spans="2:19" ht="16.5">
      <c r="B16" s="279" t="s">
        <v>88</v>
      </c>
      <c r="C16" s="279"/>
      <c r="D16" s="280" t="s">
        <v>89</v>
      </c>
      <c r="E16" s="280"/>
      <c r="G16" s="290"/>
      <c r="H16" s="291"/>
      <c r="I16" s="292"/>
      <c r="K16" s="80"/>
      <c r="L16" s="80"/>
      <c r="M16" s="280" t="s">
        <v>43</v>
      </c>
      <c r="N16" s="280"/>
      <c r="O16" s="280"/>
      <c r="P16" s="80"/>
      <c r="Q16" s="280"/>
      <c r="R16" s="280"/>
      <c r="S16" s="280"/>
    </row>
    <row r="17" spans="2:19" ht="16.5">
      <c r="B17" s="279" t="s">
        <v>90</v>
      </c>
      <c r="C17" s="279"/>
      <c r="D17" s="280" t="s">
        <v>91</v>
      </c>
      <c r="E17" s="280"/>
      <c r="G17" s="290"/>
      <c r="H17" s="291"/>
      <c r="I17" s="292"/>
      <c r="K17" s="80"/>
      <c r="L17" s="80"/>
      <c r="M17" s="280" t="s">
        <v>43</v>
      </c>
      <c r="N17" s="280"/>
      <c r="O17" s="280"/>
      <c r="P17" s="80"/>
      <c r="Q17" s="280"/>
      <c r="R17" s="280"/>
      <c r="S17" s="280"/>
    </row>
    <row r="18" spans="7:19" ht="16.5">
      <c r="G18" s="290"/>
      <c r="H18" s="291"/>
      <c r="I18" s="292"/>
      <c r="K18" s="80"/>
      <c r="L18" s="80"/>
      <c r="M18" s="280" t="s">
        <v>43</v>
      </c>
      <c r="N18" s="280"/>
      <c r="O18" s="280"/>
      <c r="P18" s="80"/>
      <c r="Q18" s="280"/>
      <c r="R18" s="280"/>
      <c r="S18" s="280"/>
    </row>
    <row r="19" spans="2:19" ht="16.5">
      <c r="B19" s="316" t="s">
        <v>92</v>
      </c>
      <c r="C19" s="302"/>
      <c r="D19" s="301" t="str">
        <f>VLOOKUP($D$11,Schiedsrichter!$A$1:$U$250,8,FALSE)</f>
        <v>WSF Liblar</v>
      </c>
      <c r="E19" s="302"/>
      <c r="G19" s="290"/>
      <c r="H19" s="291"/>
      <c r="I19" s="292"/>
      <c r="K19" s="80"/>
      <c r="L19" s="80"/>
      <c r="M19" s="280" t="s">
        <v>43</v>
      </c>
      <c r="N19" s="280"/>
      <c r="O19" s="280"/>
      <c r="P19" s="80"/>
      <c r="Q19" s="280"/>
      <c r="R19" s="280"/>
      <c r="S19" s="280"/>
    </row>
    <row r="20" spans="2:19" ht="16.5">
      <c r="B20" s="317"/>
      <c r="C20" s="318"/>
      <c r="D20" s="274" t="str">
        <f>VLOOKUP($D$11,Schiedsrichter!$A$1:$U$250,9,FALSE)</f>
        <v>KC Wetter</v>
      </c>
      <c r="E20" s="275"/>
      <c r="G20" s="290"/>
      <c r="H20" s="291"/>
      <c r="I20" s="292"/>
      <c r="K20" s="80"/>
      <c r="L20" s="80"/>
      <c r="M20" s="280" t="s">
        <v>43</v>
      </c>
      <c r="N20" s="280"/>
      <c r="O20" s="280"/>
      <c r="P20" s="80"/>
      <c r="Q20" s="280"/>
      <c r="R20" s="280"/>
      <c r="S20" s="280"/>
    </row>
    <row r="21" spans="7:19" ht="16.5">
      <c r="G21" s="290"/>
      <c r="H21" s="291"/>
      <c r="I21" s="292"/>
      <c r="K21" s="80"/>
      <c r="L21" s="80"/>
      <c r="M21" s="280" t="s">
        <v>43</v>
      </c>
      <c r="N21" s="280"/>
      <c r="O21" s="280"/>
      <c r="P21" s="80"/>
      <c r="Q21" s="280"/>
      <c r="R21" s="280"/>
      <c r="S21" s="280"/>
    </row>
    <row r="22" spans="2:19" ht="16.5">
      <c r="B22" s="272" t="s">
        <v>113</v>
      </c>
      <c r="C22" s="273"/>
      <c r="D22" s="274"/>
      <c r="E22" s="275"/>
      <c r="G22" s="290"/>
      <c r="H22" s="291"/>
      <c r="I22" s="292"/>
      <c r="K22" s="80"/>
      <c r="L22" s="80"/>
      <c r="M22" s="280" t="s">
        <v>43</v>
      </c>
      <c r="N22" s="280"/>
      <c r="O22" s="280"/>
      <c r="P22" s="80"/>
      <c r="Q22" s="280"/>
      <c r="R22" s="280"/>
      <c r="S22" s="280"/>
    </row>
    <row r="23" spans="2:19" ht="16.5">
      <c r="B23" s="272" t="s">
        <v>114</v>
      </c>
      <c r="C23" s="273"/>
      <c r="D23" s="274"/>
      <c r="E23" s="275"/>
      <c r="G23" s="290"/>
      <c r="H23" s="291"/>
      <c r="I23" s="292"/>
      <c r="K23" s="80"/>
      <c r="L23" s="80"/>
      <c r="M23" s="280" t="s">
        <v>43</v>
      </c>
      <c r="N23" s="280"/>
      <c r="O23" s="280"/>
      <c r="P23" s="80"/>
      <c r="Q23" s="280"/>
      <c r="R23" s="280"/>
      <c r="S23" s="280"/>
    </row>
    <row r="24" spans="2:19" ht="16.5">
      <c r="B24" s="272" t="s">
        <v>94</v>
      </c>
      <c r="C24" s="273"/>
      <c r="D24" s="274"/>
      <c r="E24" s="275"/>
      <c r="G24" s="290"/>
      <c r="H24" s="291"/>
      <c r="I24" s="292"/>
      <c r="K24" s="80"/>
      <c r="L24" s="80"/>
      <c r="M24" s="280" t="s">
        <v>43</v>
      </c>
      <c r="N24" s="280"/>
      <c r="O24" s="280"/>
      <c r="P24" s="80"/>
      <c r="Q24" s="280"/>
      <c r="R24" s="280"/>
      <c r="S24" s="280"/>
    </row>
    <row r="25" spans="2:19" ht="16.5">
      <c r="B25" s="272" t="s">
        <v>108</v>
      </c>
      <c r="C25" s="273"/>
      <c r="D25" s="274"/>
      <c r="E25" s="275"/>
      <c r="G25" s="290"/>
      <c r="H25" s="291"/>
      <c r="I25" s="292"/>
      <c r="K25" s="80"/>
      <c r="L25" s="80"/>
      <c r="M25" s="280" t="s">
        <v>43</v>
      </c>
      <c r="N25" s="280"/>
      <c r="O25" s="280"/>
      <c r="P25" s="80"/>
      <c r="Q25" s="280"/>
      <c r="R25" s="280"/>
      <c r="S25" s="280"/>
    </row>
    <row r="26" spans="2:19" ht="16.5">
      <c r="B26" s="272" t="s">
        <v>107</v>
      </c>
      <c r="C26" s="273"/>
      <c r="D26" s="274"/>
      <c r="E26" s="275"/>
      <c r="G26" s="290"/>
      <c r="H26" s="291"/>
      <c r="I26" s="292"/>
      <c r="K26" s="80"/>
      <c r="L26" s="80"/>
      <c r="M26" s="280" t="s">
        <v>43</v>
      </c>
      <c r="N26" s="280"/>
      <c r="O26" s="280"/>
      <c r="P26" s="80"/>
      <c r="Q26" s="280"/>
      <c r="R26" s="280"/>
      <c r="S26" s="280"/>
    </row>
    <row r="27" spans="2:19" ht="16.5">
      <c r="B27" s="272" t="s">
        <v>95</v>
      </c>
      <c r="C27" s="273"/>
      <c r="D27" s="274"/>
      <c r="E27" s="275"/>
      <c r="G27" s="290"/>
      <c r="H27" s="291"/>
      <c r="I27" s="292"/>
      <c r="K27" s="80"/>
      <c r="L27" s="80"/>
      <c r="M27" s="280" t="s">
        <v>43</v>
      </c>
      <c r="N27" s="280"/>
      <c r="O27" s="280"/>
      <c r="P27" s="80"/>
      <c r="Q27" s="280"/>
      <c r="R27" s="280"/>
      <c r="S27" s="280"/>
    </row>
    <row r="28" spans="2:19" ht="16.5">
      <c r="B28" s="272" t="s">
        <v>95</v>
      </c>
      <c r="C28" s="273"/>
      <c r="D28" s="274"/>
      <c r="E28" s="275"/>
      <c r="G28" s="290"/>
      <c r="H28" s="291"/>
      <c r="I28" s="292"/>
      <c r="K28" s="80"/>
      <c r="L28" s="80"/>
      <c r="M28" s="280" t="s">
        <v>43</v>
      </c>
      <c r="N28" s="280"/>
      <c r="O28" s="280"/>
      <c r="P28" s="80"/>
      <c r="Q28" s="280"/>
      <c r="R28" s="280"/>
      <c r="S28" s="280"/>
    </row>
    <row r="29" spans="2:19" ht="16.5">
      <c r="B29" s="272" t="s">
        <v>96</v>
      </c>
      <c r="C29" s="273"/>
      <c r="D29" s="274" t="str">
        <f>VLOOKUP($D$11,Schiedsrichter!$A$1:$U$250,21,FALSE)</f>
        <v>-</v>
      </c>
      <c r="E29" s="275"/>
      <c r="G29" s="293"/>
      <c r="H29" s="294"/>
      <c r="I29" s="295"/>
      <c r="K29" s="80"/>
      <c r="L29" s="80"/>
      <c r="M29" s="280" t="s">
        <v>43</v>
      </c>
      <c r="N29" s="280"/>
      <c r="O29" s="280"/>
      <c r="P29" s="80"/>
      <c r="Q29" s="280"/>
      <c r="R29" s="280"/>
      <c r="S29" s="280"/>
    </row>
    <row r="30" spans="11:19" ht="16.5">
      <c r="K30" s="80"/>
      <c r="L30" s="80"/>
      <c r="M30" s="280" t="s">
        <v>43</v>
      </c>
      <c r="N30" s="280"/>
      <c r="O30" s="280"/>
      <c r="P30" s="80"/>
      <c r="Q30" s="280"/>
      <c r="R30" s="280"/>
      <c r="S30" s="280"/>
    </row>
    <row r="31" spans="2:19" ht="16.5">
      <c r="B31" s="307" t="s">
        <v>97</v>
      </c>
      <c r="C31" s="305"/>
      <c r="D31" s="305"/>
      <c r="E31" s="81"/>
      <c r="F31" s="81"/>
      <c r="G31" s="81"/>
      <c r="H31" s="81"/>
      <c r="I31" s="82"/>
      <c r="K31" s="80"/>
      <c r="L31" s="80"/>
      <c r="M31" s="280" t="s">
        <v>43</v>
      </c>
      <c r="N31" s="280"/>
      <c r="O31" s="280"/>
      <c r="P31" s="80"/>
      <c r="Q31" s="280"/>
      <c r="R31" s="280"/>
      <c r="S31" s="280"/>
    </row>
    <row r="32" spans="2:19" ht="16.5">
      <c r="B32" s="281" t="str">
        <f>IF(VLOOKUP($D$11,SpieleDB!$A$2:$J$217,2,FALSE)="T","Tabellenspiel","Entscheidungsspiel")</f>
        <v>Tabellenspiel</v>
      </c>
      <c r="C32" s="282"/>
      <c r="D32" s="282"/>
      <c r="E32" s="282"/>
      <c r="F32" s="282"/>
      <c r="G32" s="282"/>
      <c r="H32" s="282"/>
      <c r="I32" s="283"/>
      <c r="K32" s="80"/>
      <c r="L32" s="80"/>
      <c r="M32" s="280" t="s">
        <v>43</v>
      </c>
      <c r="N32" s="280"/>
      <c r="O32" s="280"/>
      <c r="P32" s="80"/>
      <c r="Q32" s="280"/>
      <c r="R32" s="280"/>
      <c r="S32" s="280"/>
    </row>
    <row r="33" spans="2:19" ht="16.5">
      <c r="B33" s="281"/>
      <c r="C33" s="282"/>
      <c r="D33" s="282"/>
      <c r="E33" s="282"/>
      <c r="F33" s="282"/>
      <c r="G33" s="282"/>
      <c r="H33" s="282"/>
      <c r="I33" s="283"/>
      <c r="K33" s="80"/>
      <c r="L33" s="80"/>
      <c r="M33" s="280" t="s">
        <v>43</v>
      </c>
      <c r="N33" s="280"/>
      <c r="O33" s="280"/>
      <c r="P33" s="80"/>
      <c r="Q33" s="280"/>
      <c r="R33" s="280"/>
      <c r="S33" s="280"/>
    </row>
    <row r="34" spans="2:19" ht="16.5">
      <c r="B34" s="281"/>
      <c r="C34" s="282"/>
      <c r="D34" s="282"/>
      <c r="E34" s="282"/>
      <c r="F34" s="282"/>
      <c r="G34" s="282"/>
      <c r="H34" s="282"/>
      <c r="I34" s="283"/>
      <c r="K34" s="80"/>
      <c r="L34" s="80"/>
      <c r="M34" s="280" t="s">
        <v>43</v>
      </c>
      <c r="N34" s="280"/>
      <c r="O34" s="280"/>
      <c r="P34" s="80"/>
      <c r="Q34" s="280"/>
      <c r="R34" s="280"/>
      <c r="S34" s="280"/>
    </row>
    <row r="35" spans="2:19" ht="16.5">
      <c r="B35" s="284"/>
      <c r="C35" s="285"/>
      <c r="D35" s="285"/>
      <c r="E35" s="285"/>
      <c r="F35" s="285"/>
      <c r="G35" s="285"/>
      <c r="H35" s="285"/>
      <c r="I35" s="286"/>
      <c r="K35" s="80"/>
      <c r="L35" s="80"/>
      <c r="M35" s="280" t="s">
        <v>43</v>
      </c>
      <c r="N35" s="280"/>
      <c r="O35" s="280"/>
      <c r="P35" s="80"/>
      <c r="Q35" s="280"/>
      <c r="R35" s="280"/>
      <c r="S35" s="280"/>
    </row>
    <row r="36" ht="8.25" customHeight="1"/>
    <row r="37" ht="8.25" customHeight="1">
      <c r="C37" s="75" t="s">
        <v>93</v>
      </c>
    </row>
    <row r="38" spans="2:16" ht="16.5" customHeight="1">
      <c r="B38" s="308" t="s">
        <v>105</v>
      </c>
      <c r="C38" s="309"/>
      <c r="D38" s="309"/>
      <c r="E38" s="309"/>
      <c r="F38" s="308" t="s">
        <v>106</v>
      </c>
      <c r="G38" s="309"/>
      <c r="H38" s="309"/>
      <c r="I38" s="323"/>
      <c r="L38" s="276" t="str">
        <f>B39</f>
        <v>KRM Essen</v>
      </c>
      <c r="M38" s="276"/>
      <c r="N38" s="276" t="s">
        <v>43</v>
      </c>
      <c r="O38" s="276" t="str">
        <f>F39</f>
        <v>KGW Essen</v>
      </c>
      <c r="P38" s="276"/>
    </row>
    <row r="39" spans="2:16" ht="20.25" customHeight="1">
      <c r="B39" s="319" t="str">
        <f>VLOOKUP($D$11,SpieleDB!$A$2:$J$217,6,FALSE)</f>
        <v>KRM Essen</v>
      </c>
      <c r="C39" s="320" t="str">
        <f>VLOOKUP($D$11,SpieleDB!$A$2:$J$217,2,FALSE)</f>
        <v>T</v>
      </c>
      <c r="D39" s="320" t="str">
        <f>VLOOKUP($D$11,SpieleDB!$A$2:$J$217,2,FALSE)</f>
        <v>T</v>
      </c>
      <c r="E39" s="320" t="str">
        <f>VLOOKUP($D$11,SpieleDB!$A$2:$J$217,2,FALSE)</f>
        <v>T</v>
      </c>
      <c r="F39" s="319" t="str">
        <f>VLOOKUP($D$11,SpieleDB!$A$2:$J$217,7,FALSE)</f>
        <v>KGW Essen</v>
      </c>
      <c r="G39" s="320" t="str">
        <f>VLOOKUP($D$11,SpieleDB!$A$2:$J$217,2,FALSE)</f>
        <v>T</v>
      </c>
      <c r="H39" s="320" t="str">
        <f>VLOOKUP($D$11,SpieleDB!$A$2:$J$217,2,FALSE)</f>
        <v>T</v>
      </c>
      <c r="I39" s="321" t="str">
        <f>VLOOKUP($D$11,SpieleDB!$A$2:$J$217,2,FALSE)</f>
        <v>T</v>
      </c>
      <c r="L39" s="276"/>
      <c r="M39" s="276"/>
      <c r="N39" s="276"/>
      <c r="O39" s="276"/>
      <c r="P39" s="276"/>
    </row>
    <row r="40" spans="2:9" ht="16.5">
      <c r="B40" s="83" t="s">
        <v>98</v>
      </c>
      <c r="C40" s="306" t="s">
        <v>18</v>
      </c>
      <c r="D40" s="306"/>
      <c r="E40" s="83" t="s">
        <v>19</v>
      </c>
      <c r="F40" s="83" t="s">
        <v>98</v>
      </c>
      <c r="G40" s="306" t="s">
        <v>18</v>
      </c>
      <c r="H40" s="306"/>
      <c r="I40" s="83" t="s">
        <v>19</v>
      </c>
    </row>
    <row r="41" spans="2:15" ht="16.5">
      <c r="B41" s="80">
        <f>IF(VLOOKUP(VLOOKUP($B$39,TabellenDB!$O$83:$W$94,9,FALSE)*10+$B55,SpielerDB!$B$2:$F$121,2,FALSE)="ja",VLOOKUP(VLOOKUP($B$39,TabellenDB!$O$83:$W$94,9,FALSE)*10+$B55,SpielerDB!$B$2:$F$121,3,FALSE),"")</f>
      </c>
      <c r="C41" s="280">
        <f>IF(VLOOKUP(VLOOKUP($B$39,TabellenDB!$O$83:$W$94,9,FALSE)*10+$B55,SpielerDB!$B$2:$F$121,2,FALSE)="ja",VLOOKUP(VLOOKUP($B$39,TabellenDB!$O$83:$W$94,9,FALSE)*10+$B55,SpielerDB!$B$2:$F$121,5,FALSE),"")</f>
      </c>
      <c r="D41" s="280"/>
      <c r="E41" s="80">
        <f>IF(VLOOKUP(VLOOKUP($B$39,TabellenDB!$O$83:$W$94,9,FALSE)*10+$B55,SpielerDB!$B$2:$F$121,2,FALSE)="ja",VLOOKUP(VLOOKUP($B$39,TabellenDB!$O$83:$W$94,9,FALSE)*10+$B55,SpielerDB!$B$2:$F$121,4,FALSE),"")</f>
      </c>
      <c r="F41" s="80">
        <f>IF(VLOOKUP(VLOOKUP($F$39,TabellenDB!$O$83:$W$94,9,FALSE)*10+$B55,SpielerDB!$B$2:$F$121,2,FALSE)="ja",VLOOKUP(VLOOKUP($F$39,TabellenDB!$O$83:$W$94,9,FALSE)*10+$B55,SpielerDB!$B$2:$F$121,3,FALSE),"")</f>
      </c>
      <c r="G41" s="280">
        <f>IF(VLOOKUP(VLOOKUP($F$39,TabellenDB!$O$83:$W$94,9,FALSE)*10+$B55,SpielerDB!$B$2:$F$121,2,FALSE)="ja",VLOOKUP(VLOOKUP($F$39,TabellenDB!$O$83:$W$94,9,FALSE)*10+$B55,SpielerDB!$B$2:$F$121,5,FALSE),"")</f>
      </c>
      <c r="H41" s="280"/>
      <c r="I41" s="80">
        <f>IF(VLOOKUP(VLOOKUP($F$39,TabellenDB!$O$83:$W$94,9,FALSE)*10+$B55,SpielerDB!$B$2:$F$121,2,FALSE)="ja",VLOOKUP(VLOOKUP($F$39,TabellenDB!$O$83:$W$94,9,FALSE)*10+$B55,SpielerDB!$B$2:$F$121,4,FALSE),"")</f>
      </c>
      <c r="L41" s="84" t="s">
        <v>99</v>
      </c>
      <c r="M41" s="85"/>
      <c r="N41" s="75" t="s">
        <v>43</v>
      </c>
      <c r="O41" s="85"/>
    </row>
    <row r="42" spans="2:9" ht="16.5">
      <c r="B42" s="80">
        <f>IF(VLOOKUP(VLOOKUP($B$39,TabellenDB!$O$83:$W$94,9,FALSE)*10+$B56,SpielerDB!$B$2:$F$121,2,FALSE)="ja",VLOOKUP(VLOOKUP($B$39,TabellenDB!$O$83:$W$94,9,FALSE)*10+$B56,SpielerDB!$B$2:$F$121,3,FALSE),"")</f>
      </c>
      <c r="C42" s="280">
        <f>IF(VLOOKUP(VLOOKUP($B$39,TabellenDB!$O$83:$W$94,9,FALSE)*10+$B56,SpielerDB!$B$2:$F$121,2,FALSE)="ja",VLOOKUP(VLOOKUP($B$39,TabellenDB!$O$83:$W$94,9,FALSE)*10+$B56,SpielerDB!$B$2:$F$121,5,FALSE),"")</f>
      </c>
      <c r="D42" s="280"/>
      <c r="E42" s="80">
        <f>IF(VLOOKUP(VLOOKUP($B$39,TabellenDB!$O$83:$W$94,9,FALSE)*10+$B56,SpielerDB!$B$2:$F$121,2,FALSE)="ja",VLOOKUP(VLOOKUP($B$39,TabellenDB!$O$83:$W$94,9,FALSE)*10+$B56,SpielerDB!$B$2:$F$121,4,FALSE),"")</f>
      </c>
      <c r="F42" s="80">
        <f>IF(VLOOKUP(VLOOKUP($F$39,TabellenDB!$O$83:$W$94,9,FALSE)*10+$B56,SpielerDB!$B$2:$F$121,2,FALSE)="ja",VLOOKUP(VLOOKUP($F$39,TabellenDB!$O$83:$W$94,9,FALSE)*10+$B56,SpielerDB!$B$2:$F$121,3,FALSE),"")</f>
      </c>
      <c r="G42" s="280">
        <f>IF(VLOOKUP(VLOOKUP($F$39,TabellenDB!$O$83:$W$94,9,FALSE)*10+$B56,SpielerDB!$B$2:$F$121,2,FALSE)="ja",VLOOKUP(VLOOKUP($F$39,TabellenDB!$O$83:$W$94,9,FALSE)*10+$B56,SpielerDB!$B$2:$F$121,5,FALSE),"")</f>
      </c>
      <c r="H42" s="280"/>
      <c r="I42" s="80">
        <f>IF(VLOOKUP(VLOOKUP($F$39,TabellenDB!$O$83:$W$94,9,FALSE)*10+$B56,SpielerDB!$B$2:$F$121,2,FALSE)="ja",VLOOKUP(VLOOKUP($F$39,TabellenDB!$O$83:$W$94,9,FALSE)*10+$B56,SpielerDB!$B$2:$F$121,4,FALSE),"")</f>
      </c>
    </row>
    <row r="43" spans="2:14" ht="16.5">
      <c r="B43" s="80">
        <f>IF(VLOOKUP(VLOOKUP($B$39,TabellenDB!$O$83:$W$94,9,FALSE)*10+$B57,SpielerDB!$B$2:$F$121,2,FALSE)="ja",VLOOKUP(VLOOKUP($B$39,TabellenDB!$O$83:$W$94,9,FALSE)*10+$B57,SpielerDB!$B$2:$F$121,3,FALSE),"")</f>
      </c>
      <c r="C43" s="280">
        <f>IF(VLOOKUP(VLOOKUP($B$39,TabellenDB!$O$83:$W$94,9,FALSE)*10+$B57,SpielerDB!$B$2:$F$121,2,FALSE)="ja",VLOOKUP(VLOOKUP($B$39,TabellenDB!$O$83:$W$94,9,FALSE)*10+$B57,SpielerDB!$B$2:$F$121,5,FALSE),"")</f>
      </c>
      <c r="D43" s="280"/>
      <c r="E43" s="80">
        <f>IF(VLOOKUP(VLOOKUP($B$39,TabellenDB!$O$83:$W$94,9,FALSE)*10+$B57,SpielerDB!$B$2:$F$121,2,FALSE)="ja",VLOOKUP(VLOOKUP($B$39,TabellenDB!$O$83:$W$94,9,FALSE)*10+$B57,SpielerDB!$B$2:$F$121,4,FALSE),"")</f>
      </c>
      <c r="F43" s="80">
        <f>IF(VLOOKUP(VLOOKUP($F$39,TabellenDB!$O$83:$W$94,9,FALSE)*10+$B57,SpielerDB!$B$2:$F$121,2,FALSE)="ja",VLOOKUP(VLOOKUP($F$39,TabellenDB!$O$83:$W$94,9,FALSE)*10+$B57,SpielerDB!$B$2:$F$121,3,FALSE),"")</f>
      </c>
      <c r="G43" s="280">
        <f>IF(VLOOKUP(VLOOKUP($F$39,TabellenDB!$O$83:$W$94,9,FALSE)*10+$B57,SpielerDB!$B$2:$F$121,2,FALSE)="ja",VLOOKUP(VLOOKUP($F$39,TabellenDB!$O$83:$W$94,9,FALSE)*10+$B57,SpielerDB!$B$2:$F$121,5,FALSE),"")</f>
      </c>
      <c r="H43" s="280"/>
      <c r="I43" s="80">
        <f>IF(VLOOKUP(VLOOKUP($F$39,TabellenDB!$O$83:$W$94,9,FALSE)*10+$B57,SpielerDB!$B$2:$F$121,2,FALSE)="ja",VLOOKUP(VLOOKUP($F$39,TabellenDB!$O$83:$W$94,9,FALSE)*10+$B57,SpielerDB!$B$2:$F$121,4,FALSE),"")</f>
      </c>
      <c r="L43" s="322" t="s">
        <v>100</v>
      </c>
      <c r="N43" s="322" t="s">
        <v>43</v>
      </c>
    </row>
    <row r="44" spans="2:15" ht="16.5">
      <c r="B44" s="80">
        <f>IF(VLOOKUP(VLOOKUP($B$39,TabellenDB!$O$83:$W$94,9,FALSE)*10+$B58,SpielerDB!$B$2:$F$121,2,FALSE)="ja",VLOOKUP(VLOOKUP($B$39,TabellenDB!$O$83:$W$94,9,FALSE)*10+$B58,SpielerDB!$B$2:$F$121,3,FALSE),"")</f>
      </c>
      <c r="C44" s="280">
        <f>IF(VLOOKUP(VLOOKUP($B$39,TabellenDB!$O$83:$W$94,9,FALSE)*10+$B58,SpielerDB!$B$2:$F$121,2,FALSE)="ja",VLOOKUP(VLOOKUP($B$39,TabellenDB!$O$83:$W$94,9,FALSE)*10+$B58,SpielerDB!$B$2:$F$121,5,FALSE),"")</f>
      </c>
      <c r="D44" s="280"/>
      <c r="E44" s="80">
        <f>IF(VLOOKUP(VLOOKUP($B$39,TabellenDB!$O$83:$W$94,9,FALSE)*10+$B58,SpielerDB!$B$2:$F$121,2,FALSE)="ja",VLOOKUP(VLOOKUP($B$39,TabellenDB!$O$83:$W$94,9,FALSE)*10+$B58,SpielerDB!$B$2:$F$121,4,FALSE),"")</f>
      </c>
      <c r="F44" s="80">
        <f>IF(VLOOKUP(VLOOKUP($F$39,TabellenDB!$O$83:$W$94,9,FALSE)*10+$B58,SpielerDB!$B$2:$F$121,2,FALSE)="ja",VLOOKUP(VLOOKUP($F$39,TabellenDB!$O$83:$W$94,9,FALSE)*10+$B58,SpielerDB!$B$2:$F$121,3,FALSE),"")</f>
      </c>
      <c r="G44" s="280">
        <f>IF(VLOOKUP(VLOOKUP($F$39,TabellenDB!$O$83:$W$94,9,FALSE)*10+$B58,SpielerDB!$B$2:$F$121,2,FALSE)="ja",VLOOKUP(VLOOKUP($F$39,TabellenDB!$O$83:$W$94,9,FALSE)*10+$B58,SpielerDB!$B$2:$F$121,5,FALSE),"")</f>
      </c>
      <c r="H44" s="280"/>
      <c r="I44" s="80">
        <f>IF(VLOOKUP(VLOOKUP($F$39,TabellenDB!$O$83:$W$94,9,FALSE)*10+$B58,SpielerDB!$B$2:$F$121,2,FALSE)="ja",VLOOKUP(VLOOKUP($F$39,TabellenDB!$O$83:$W$94,9,FALSE)*10+$B58,SpielerDB!$B$2:$F$121,4,FALSE),"")</f>
      </c>
      <c r="L44" s="322"/>
      <c r="M44" s="85"/>
      <c r="N44" s="322"/>
      <c r="O44" s="85"/>
    </row>
    <row r="45" spans="2:9" ht="16.5">
      <c r="B45" s="80">
        <f>IF(VLOOKUP(VLOOKUP($B$39,TabellenDB!$O$83:$W$94,9,FALSE)*10+$B59,SpielerDB!$B$2:$F$121,2,FALSE)="ja",VLOOKUP(VLOOKUP($B$39,TabellenDB!$O$83:$W$94,9,FALSE)*10+$B59,SpielerDB!$B$2:$F$121,3,FALSE),"")</f>
      </c>
      <c r="C45" s="280">
        <f>IF(VLOOKUP(VLOOKUP($B$39,TabellenDB!$O$83:$W$94,9,FALSE)*10+$B59,SpielerDB!$B$2:$F$121,2,FALSE)="ja",VLOOKUP(VLOOKUP($B$39,TabellenDB!$O$83:$W$94,9,FALSE)*10+$B59,SpielerDB!$B$2:$F$121,5,FALSE),"")</f>
      </c>
      <c r="D45" s="280"/>
      <c r="E45" s="80">
        <f>IF(VLOOKUP(VLOOKUP($B$39,TabellenDB!$O$83:$W$94,9,FALSE)*10+$B59,SpielerDB!$B$2:$F$121,2,FALSE)="ja",VLOOKUP(VLOOKUP($B$39,TabellenDB!$O$83:$W$94,9,FALSE)*10+$B59,SpielerDB!$B$2:$F$121,4,FALSE),"")</f>
      </c>
      <c r="F45" s="80">
        <f>IF(VLOOKUP(VLOOKUP($F$39,TabellenDB!$O$83:$W$94,9,FALSE)*10+$B59,SpielerDB!$B$2:$F$121,2,FALSE)="ja",VLOOKUP(VLOOKUP($F$39,TabellenDB!$O$83:$W$94,9,FALSE)*10+$B59,SpielerDB!$B$2:$F$121,3,FALSE),"")</f>
      </c>
      <c r="G45" s="280">
        <f>IF(VLOOKUP(VLOOKUP($F$39,TabellenDB!$O$83:$W$94,9,FALSE)*10+$B59,SpielerDB!$B$2:$F$121,2,FALSE)="ja",VLOOKUP(VLOOKUP($F$39,TabellenDB!$O$83:$W$94,9,FALSE)*10+$B59,SpielerDB!$B$2:$F$121,5,FALSE),"")</f>
      </c>
      <c r="H45" s="280"/>
      <c r="I45" s="80">
        <f>IF(VLOOKUP(VLOOKUP($F$39,TabellenDB!$O$83:$W$94,9,FALSE)*10+$B59,SpielerDB!$B$2:$F$121,2,FALSE)="ja",VLOOKUP(VLOOKUP($F$39,TabellenDB!$O$83:$W$94,9,FALSE)*10+$B59,SpielerDB!$B$2:$F$121,4,FALSE),"")</f>
      </c>
    </row>
    <row r="46" spans="2:18" ht="16.5">
      <c r="B46" s="80">
        <f>IF(VLOOKUP(VLOOKUP($B$39,TabellenDB!$O$83:$W$94,9,FALSE)*10+$B60,SpielerDB!$B$2:$F$121,2,FALSE)="ja",VLOOKUP(VLOOKUP($B$39,TabellenDB!$O$83:$W$94,9,FALSE)*10+$B60,SpielerDB!$B$2:$F$121,3,FALSE),"")</f>
      </c>
      <c r="C46" s="280">
        <f>IF(VLOOKUP(VLOOKUP($B$39,TabellenDB!$O$83:$W$94,9,FALSE)*10+$B60,SpielerDB!$B$2:$F$121,2,FALSE)="ja",VLOOKUP(VLOOKUP($B$39,TabellenDB!$O$83:$W$94,9,FALSE)*10+$B60,SpielerDB!$B$2:$F$121,5,FALSE),"")</f>
      </c>
      <c r="D46" s="280"/>
      <c r="E46" s="80">
        <f>IF(VLOOKUP(VLOOKUP($B$39,TabellenDB!$O$83:$W$94,9,FALSE)*10+$B60,SpielerDB!$B$2:$F$121,2,FALSE)="ja",VLOOKUP(VLOOKUP($B$39,TabellenDB!$O$83:$W$94,9,FALSE)*10+$B60,SpielerDB!$B$2:$F$121,4,FALSE),"")</f>
      </c>
      <c r="F46" s="80">
        <f>IF(VLOOKUP(VLOOKUP($F$39,TabellenDB!$O$83:$W$94,9,FALSE)*10+$B60,SpielerDB!$B$2:$F$121,2,FALSE)="ja",VLOOKUP(VLOOKUP($F$39,TabellenDB!$O$83:$W$94,9,FALSE)*10+$B60,SpielerDB!$B$2:$F$121,3,FALSE),"")</f>
      </c>
      <c r="G46" s="280">
        <f>IF(VLOOKUP(VLOOKUP($F$39,TabellenDB!$O$83:$W$94,9,FALSE)*10+$B60,SpielerDB!$B$2:$F$121,2,FALSE)="ja",VLOOKUP(VLOOKUP($F$39,TabellenDB!$O$83:$W$94,9,FALSE)*10+$B60,SpielerDB!$B$2:$F$121,5,FALSE),"")</f>
      </c>
      <c r="H46" s="280"/>
      <c r="I46" s="80">
        <f>IF(VLOOKUP(VLOOKUP($F$39,TabellenDB!$O$83:$W$94,9,FALSE)*10+$B60,SpielerDB!$B$2:$F$121,2,FALSE)="ja",VLOOKUP(VLOOKUP($F$39,TabellenDB!$O$83:$W$94,9,FALSE)*10+$B60,SpielerDB!$B$2:$F$121,4,FALSE),"")</f>
      </c>
      <c r="L46" s="326" t="s">
        <v>101</v>
      </c>
      <c r="M46" s="326"/>
      <c r="O46" s="80"/>
      <c r="P46" s="86" t="s">
        <v>110</v>
      </c>
      <c r="R46" s="324" t="s">
        <v>42</v>
      </c>
    </row>
    <row r="47" spans="2:18" ht="16.5" customHeight="1">
      <c r="B47" s="80">
        <f>IF(VLOOKUP(VLOOKUP($B$39,TabellenDB!$O$83:$W$94,9,FALSE)*10+$B61,SpielerDB!$B$2:$F$121,2,FALSE)="ja",VLOOKUP(VLOOKUP($B$39,TabellenDB!$O$83:$W$94,9,FALSE)*10+$B61,SpielerDB!$B$2:$F$121,3,FALSE),"")</f>
      </c>
      <c r="C47" s="280">
        <f>IF(VLOOKUP(VLOOKUP($B$39,TabellenDB!$O$83:$W$94,9,FALSE)*10+$B61,SpielerDB!$B$2:$F$121,2,FALSE)="ja",VLOOKUP(VLOOKUP($B$39,TabellenDB!$O$83:$W$94,9,FALSE)*10+$B61,SpielerDB!$B$2:$F$121,5,FALSE),"")</f>
      </c>
      <c r="D47" s="280"/>
      <c r="E47" s="80">
        <f>IF(VLOOKUP(VLOOKUP($B$39,TabellenDB!$O$83:$W$94,9,FALSE)*10+$B61,SpielerDB!$B$2:$F$121,2,FALSE)="ja",VLOOKUP(VLOOKUP($B$39,TabellenDB!$O$83:$W$94,9,FALSE)*10+$B61,SpielerDB!$B$2:$F$121,4,FALSE),"")</f>
      </c>
      <c r="F47" s="80">
        <f>IF(VLOOKUP(VLOOKUP($F$39,TabellenDB!$O$83:$W$94,9,FALSE)*10+$B61,SpielerDB!$B$2:$F$121,2,FALSE)="ja",VLOOKUP(VLOOKUP($F$39,TabellenDB!$O$83:$W$94,9,FALSE)*10+$B61,SpielerDB!$B$2:$F$121,3,FALSE),"")</f>
      </c>
      <c r="G47" s="280">
        <f>IF(VLOOKUP(VLOOKUP($F$39,TabellenDB!$O$83:$W$94,9,FALSE)*10+$B61,SpielerDB!$B$2:$F$121,2,FALSE)="ja",VLOOKUP(VLOOKUP($F$39,TabellenDB!$O$83:$W$94,9,FALSE)*10+$B61,SpielerDB!$B$2:$F$121,5,FALSE),"")</f>
      </c>
      <c r="H47" s="280"/>
      <c r="I47" s="80">
        <f>IF(VLOOKUP(VLOOKUP($F$39,TabellenDB!$O$83:$W$94,9,FALSE)*10+$B61,SpielerDB!$B$2:$F$121,2,FALSE)="ja",VLOOKUP(VLOOKUP($F$39,TabellenDB!$O$83:$W$94,9,FALSE)*10+$B61,SpielerDB!$B$2:$F$121,4,FALSE),"")</f>
      </c>
      <c r="L47" s="326"/>
      <c r="M47" s="326"/>
      <c r="O47" s="80"/>
      <c r="P47" s="86" t="s">
        <v>111</v>
      </c>
      <c r="R47" s="324"/>
    </row>
    <row r="48" spans="2:18" ht="16.5" customHeight="1">
      <c r="B48" s="80">
        <f>IF(VLOOKUP(VLOOKUP($B$39,TabellenDB!$O$83:$W$94,9,FALSE)*10+$B62,SpielerDB!$B$2:$F$121,2,FALSE)="ja",VLOOKUP(VLOOKUP($B$39,TabellenDB!$O$83:$W$94,9,FALSE)*10+$B62,SpielerDB!$B$2:$F$121,3,FALSE),"")</f>
      </c>
      <c r="C48" s="280">
        <f>IF(VLOOKUP(VLOOKUP($B$39,TabellenDB!$O$83:$W$94,9,FALSE)*10+$B62,SpielerDB!$B$2:$F$121,2,FALSE)="ja",VLOOKUP(VLOOKUP($B$39,TabellenDB!$O$83:$W$94,9,FALSE)*10+$B62,SpielerDB!$B$2:$F$121,5,FALSE),"")</f>
      </c>
      <c r="D48" s="280"/>
      <c r="E48" s="80">
        <f>IF(VLOOKUP(VLOOKUP($B$39,TabellenDB!$O$83:$W$94,9,FALSE)*10+$B62,SpielerDB!$B$2:$F$121,2,FALSE)="ja",VLOOKUP(VLOOKUP($B$39,TabellenDB!$O$83:$W$94,9,FALSE)*10+$B62,SpielerDB!$B$2:$F$121,4,FALSE),"")</f>
      </c>
      <c r="F48" s="80">
        <f>IF(VLOOKUP(VLOOKUP($F$39,TabellenDB!$O$83:$W$94,9,FALSE)*10+$B62,SpielerDB!$B$2:$F$121,2,FALSE)="ja",VLOOKUP(VLOOKUP($F$39,TabellenDB!$O$83:$W$94,9,FALSE)*10+$B62,SpielerDB!$B$2:$F$121,3,FALSE),"")</f>
      </c>
      <c r="G48" s="280">
        <f>IF(VLOOKUP(VLOOKUP($F$39,TabellenDB!$O$83:$W$94,9,FALSE)*10+$B62,SpielerDB!$B$2:$F$121,2,FALSE)="ja",VLOOKUP(VLOOKUP($F$39,TabellenDB!$O$83:$W$94,9,FALSE)*10+$B62,SpielerDB!$B$2:$F$121,5,FALSE),"")</f>
      </c>
      <c r="H48" s="280"/>
      <c r="I48" s="80">
        <f>IF(VLOOKUP(VLOOKUP($F$39,TabellenDB!$O$83:$W$94,9,FALSE)*10+$B62,SpielerDB!$B$2:$F$121,2,FALSE)="ja",VLOOKUP(VLOOKUP($F$39,TabellenDB!$O$83:$W$94,9,FALSE)*10+$B62,SpielerDB!$B$2:$F$121,4,FALSE),"")</f>
      </c>
      <c r="R48" s="325"/>
    </row>
    <row r="49" spans="2:19" ht="16.5">
      <c r="B49" s="80">
        <f>IF(VLOOKUP(VLOOKUP($B$39,TabellenDB!$O$83:$W$94,9,FALSE)*10+$B63,SpielerDB!$B$2:$F$121,2,FALSE)="ja",VLOOKUP(VLOOKUP($B$39,TabellenDB!$O$83:$W$94,9,FALSE)*10+$B63,SpielerDB!$B$2:$F$121,3,FALSE),"")</f>
      </c>
      <c r="C49" s="280">
        <f>IF(VLOOKUP(VLOOKUP($B$39,TabellenDB!$O$83:$W$94,9,FALSE)*10+$B63,SpielerDB!$B$2:$F$121,2,FALSE)="ja",VLOOKUP(VLOOKUP($B$39,TabellenDB!$O$83:$W$94,9,FALSE)*10+$B63,SpielerDB!$B$2:$F$121,5,FALSE),"")</f>
      </c>
      <c r="D49" s="280"/>
      <c r="E49" s="80">
        <f>IF(VLOOKUP(VLOOKUP($B$39,TabellenDB!$O$83:$W$94,9,FALSE)*10+$B63,SpielerDB!$B$2:$F$121,2,FALSE)="ja",VLOOKUP(VLOOKUP($B$39,TabellenDB!$O$83:$W$94,9,FALSE)*10+$B63,SpielerDB!$B$2:$F$121,4,FALSE),"")</f>
      </c>
      <c r="F49" s="80">
        <f>IF(VLOOKUP(VLOOKUP($F$39,TabellenDB!$O$83:$W$94,9,FALSE)*10+$B63,SpielerDB!$B$2:$F$121,2,FALSE)="ja",VLOOKUP(VLOOKUP($F$39,TabellenDB!$O$83:$W$94,9,FALSE)*10+$B63,SpielerDB!$B$2:$F$121,3,FALSE),"")</f>
      </c>
      <c r="G49" s="280">
        <f>IF(VLOOKUP(VLOOKUP($F$39,TabellenDB!$O$83:$W$94,9,FALSE)*10+$B63,SpielerDB!$B$2:$F$121,2,FALSE)="ja",VLOOKUP(VLOOKUP($F$39,TabellenDB!$O$83:$W$94,9,FALSE)*10+$B63,SpielerDB!$B$2:$F$121,5,FALSE),"")</f>
      </c>
      <c r="H49" s="280"/>
      <c r="I49" s="80">
        <f>IF(VLOOKUP(VLOOKUP($F$39,TabellenDB!$O$83:$W$94,9,FALSE)*10+$B63,SpielerDB!$B$2:$F$121,2,FALSE)="ja",VLOOKUP(VLOOKUP($F$39,TabellenDB!$O$83:$W$94,9,FALSE)*10+$B63,SpielerDB!$B$2:$F$121,4,FALSE),"")</f>
      </c>
      <c r="L49" s="326" t="s">
        <v>102</v>
      </c>
      <c r="M49" s="280"/>
      <c r="N49" s="280"/>
      <c r="O49" s="280"/>
      <c r="Q49" s="303" t="s">
        <v>103</v>
      </c>
      <c r="R49" s="303"/>
      <c r="S49" s="303"/>
    </row>
    <row r="50" spans="2:19" ht="16.5">
      <c r="B50" s="80">
        <f>IF(VLOOKUP(VLOOKUP($B$39,TabellenDB!$O$83:$W$94,9,FALSE)*10+$B64,SpielerDB!$B$2:$F$121,2,FALSE)="ja",VLOOKUP(VLOOKUP($B$39,TabellenDB!$O$83:$W$94,9,FALSE)*10+$B64,SpielerDB!$B$2:$F$121,3,FALSE),"")</f>
      </c>
      <c r="C50" s="280">
        <f>IF(VLOOKUP(VLOOKUP($B$39,TabellenDB!$O$83:$W$94,9,FALSE)*10+$B64,SpielerDB!$B$2:$F$121,2,FALSE)="ja",VLOOKUP(VLOOKUP($B$39,TabellenDB!$O$83:$W$94,9,FALSE)*10+$B64,SpielerDB!$B$2:$F$121,5,FALSE),"")</f>
      </c>
      <c r="D50" s="280"/>
      <c r="E50" s="80">
        <f>IF(VLOOKUP(VLOOKUP($B$39,TabellenDB!$O$83:$W$94,9,FALSE)*10+$B64,SpielerDB!$B$2:$F$121,2,FALSE)="ja",VLOOKUP(VLOOKUP($B$39,TabellenDB!$O$83:$W$94,9,FALSE)*10+$B64,SpielerDB!$B$2:$F$121,4,FALSE),"")</f>
      </c>
      <c r="F50" s="80">
        <f>IF(VLOOKUP(VLOOKUP($F$39,TabellenDB!$O$83:$W$94,9,FALSE)*10+$B64,SpielerDB!$B$2:$F$121,2,FALSE)="ja",VLOOKUP(VLOOKUP($F$39,TabellenDB!$O$83:$W$94,9,FALSE)*10+$B64,SpielerDB!$B$2:$F$121,3,FALSE),"")</f>
      </c>
      <c r="G50" s="280">
        <f>IF(VLOOKUP(VLOOKUP($F$39,TabellenDB!$O$83:$W$94,9,FALSE)*10+$B64,SpielerDB!$B$2:$F$121,2,FALSE)="ja",VLOOKUP(VLOOKUP($F$39,TabellenDB!$O$83:$W$94,9,FALSE)*10+$B64,SpielerDB!$B$2:$F$121,5,FALSE),"")</f>
      </c>
      <c r="H50" s="280"/>
      <c r="I50" s="80">
        <f>IF(VLOOKUP(VLOOKUP($F$39,TabellenDB!$O$83:$W$94,9,FALSE)*10+$B64,SpielerDB!$B$2:$F$121,2,FALSE)="ja",VLOOKUP(VLOOKUP($F$39,TabellenDB!$O$83:$W$94,9,FALSE)*10+$B64,SpielerDB!$B$2:$F$121,4,FALSE),"")</f>
      </c>
      <c r="L50" s="326"/>
      <c r="M50" s="280"/>
      <c r="N50" s="280"/>
      <c r="O50" s="280"/>
      <c r="Q50" s="304"/>
      <c r="R50" s="304"/>
      <c r="S50" s="304"/>
    </row>
    <row r="51" spans="2:7" ht="16.5">
      <c r="B51" s="305" t="s">
        <v>104</v>
      </c>
      <c r="C51" s="305"/>
      <c r="D51" s="305"/>
      <c r="E51" s="305"/>
      <c r="F51" s="305"/>
      <c r="G51" s="305"/>
    </row>
    <row r="55" ht="16.5" hidden="1">
      <c r="B55" s="75">
        <v>1</v>
      </c>
    </row>
    <row r="56" ht="16.5" hidden="1">
      <c r="B56" s="75">
        <v>2</v>
      </c>
    </row>
    <row r="57" ht="16.5" hidden="1">
      <c r="B57" s="75">
        <v>3</v>
      </c>
    </row>
    <row r="58" ht="16.5" hidden="1">
      <c r="B58" s="75">
        <v>4</v>
      </c>
    </row>
    <row r="59" ht="16.5" hidden="1">
      <c r="B59" s="75">
        <v>5</v>
      </c>
    </row>
    <row r="60" ht="16.5" hidden="1">
      <c r="B60" s="75">
        <v>6</v>
      </c>
    </row>
    <row r="61" ht="16.5" hidden="1">
      <c r="B61" s="75">
        <v>7</v>
      </c>
    </row>
    <row r="62" ht="16.5" hidden="1">
      <c r="B62" s="75">
        <v>8</v>
      </c>
    </row>
    <row r="63" ht="16.5" hidden="1">
      <c r="B63" s="75">
        <v>9</v>
      </c>
    </row>
    <row r="64" ht="16.5" hidden="1">
      <c r="B64" s="75">
        <v>10</v>
      </c>
    </row>
    <row r="65" ht="16.5" hidden="1"/>
  </sheetData>
  <sheetProtection sheet="1" objects="1" scenarios="1" selectLockedCells="1"/>
  <mergeCells count="146">
    <mergeCell ref="H8:I9"/>
    <mergeCell ref="D11:E11"/>
    <mergeCell ref="D12:E12"/>
    <mergeCell ref="D13:E13"/>
    <mergeCell ref="D14:E14"/>
    <mergeCell ref="O38:P39"/>
    <mergeCell ref="M35:O35"/>
    <mergeCell ref="M24:O24"/>
    <mergeCell ref="M25:O25"/>
    <mergeCell ref="M26:O26"/>
    <mergeCell ref="D16:E16"/>
    <mergeCell ref="D17:E17"/>
    <mergeCell ref="D23:E23"/>
    <mergeCell ref="D26:E26"/>
    <mergeCell ref="G8:G9"/>
    <mergeCell ref="D8:F9"/>
    <mergeCell ref="L49:L50"/>
    <mergeCell ref="M49:O50"/>
    <mergeCell ref="C49:D49"/>
    <mergeCell ref="C50:D50"/>
    <mergeCell ref="G49:H49"/>
    <mergeCell ref="G50:H50"/>
    <mergeCell ref="M33:O33"/>
    <mergeCell ref="C41:D41"/>
    <mergeCell ref="R46:R48"/>
    <mergeCell ref="L46:M47"/>
    <mergeCell ref="N38:N39"/>
    <mergeCell ref="L38:M39"/>
    <mergeCell ref="B39:E39"/>
    <mergeCell ref="B19:C20"/>
    <mergeCell ref="B17:C17"/>
    <mergeCell ref="F39:I39"/>
    <mergeCell ref="L43:L44"/>
    <mergeCell ref="N43:N44"/>
    <mergeCell ref="G48:H48"/>
    <mergeCell ref="F38:I38"/>
    <mergeCell ref="C43:D43"/>
    <mergeCell ref="C44:D44"/>
    <mergeCell ref="C48:D48"/>
    <mergeCell ref="Q31:S31"/>
    <mergeCell ref="B51:G51"/>
    <mergeCell ref="C40:D40"/>
    <mergeCell ref="C46:D46"/>
    <mergeCell ref="B31:D31"/>
    <mergeCell ref="B38:E38"/>
    <mergeCell ref="G40:H40"/>
    <mergeCell ref="G47:H47"/>
    <mergeCell ref="Q35:S35"/>
    <mergeCell ref="Q33:S33"/>
    <mergeCell ref="Q17:S17"/>
    <mergeCell ref="Q49:S50"/>
    <mergeCell ref="Q27:S27"/>
    <mergeCell ref="Q28:S28"/>
    <mergeCell ref="Q21:S21"/>
    <mergeCell ref="Q22:S22"/>
    <mergeCell ref="Q23:S23"/>
    <mergeCell ref="Q24:S24"/>
    <mergeCell ref="Q25:S25"/>
    <mergeCell ref="Q30:S30"/>
    <mergeCell ref="Q16:S16"/>
    <mergeCell ref="Q18:S18"/>
    <mergeCell ref="Q14:S14"/>
    <mergeCell ref="C42:D42"/>
    <mergeCell ref="M15:O15"/>
    <mergeCell ref="M16:O16"/>
    <mergeCell ref="M17:O17"/>
    <mergeCell ref="D19:E19"/>
    <mergeCell ref="D20:E20"/>
    <mergeCell ref="M14:O14"/>
    <mergeCell ref="C47:D47"/>
    <mergeCell ref="G41:H41"/>
    <mergeCell ref="G42:H42"/>
    <mergeCell ref="G43:H43"/>
    <mergeCell ref="G44:H44"/>
    <mergeCell ref="G45:H45"/>
    <mergeCell ref="G46:H46"/>
    <mergeCell ref="Q32:S32"/>
    <mergeCell ref="M21:O21"/>
    <mergeCell ref="M31:O31"/>
    <mergeCell ref="M32:O32"/>
    <mergeCell ref="B6:F6"/>
    <mergeCell ref="Q19:S19"/>
    <mergeCell ref="Q29:S29"/>
    <mergeCell ref="Q9:S9"/>
    <mergeCell ref="Q10:S10"/>
    <mergeCell ref="Q11:S11"/>
    <mergeCell ref="C45:D45"/>
    <mergeCell ref="Q15:S15"/>
    <mergeCell ref="M22:O22"/>
    <mergeCell ref="M23:O23"/>
    <mergeCell ref="M20:O20"/>
    <mergeCell ref="Q34:S34"/>
    <mergeCell ref="M34:O34"/>
    <mergeCell ref="Q20:S20"/>
    <mergeCell ref="Q26:S26"/>
    <mergeCell ref="M18:O18"/>
    <mergeCell ref="D24:E24"/>
    <mergeCell ref="D25:E25"/>
    <mergeCell ref="Q2:S4"/>
    <mergeCell ref="Q5:S5"/>
    <mergeCell ref="Q6:S6"/>
    <mergeCell ref="Q7:S7"/>
    <mergeCell ref="Q8:S8"/>
    <mergeCell ref="M19:O19"/>
    <mergeCell ref="Q12:S12"/>
    <mergeCell ref="Q13:S13"/>
    <mergeCell ref="M29:O29"/>
    <mergeCell ref="M27:O27"/>
    <mergeCell ref="D27:E27"/>
    <mergeCell ref="M30:O30"/>
    <mergeCell ref="D28:E28"/>
    <mergeCell ref="D29:E29"/>
    <mergeCell ref="M2:O3"/>
    <mergeCell ref="M5:O5"/>
    <mergeCell ref="M6:O6"/>
    <mergeCell ref="M7:O7"/>
    <mergeCell ref="M8:O8"/>
    <mergeCell ref="M9:O9"/>
    <mergeCell ref="M4:O4"/>
    <mergeCell ref="M10:O10"/>
    <mergeCell ref="M11:O11"/>
    <mergeCell ref="B22:C22"/>
    <mergeCell ref="B32:I35"/>
    <mergeCell ref="G13:I29"/>
    <mergeCell ref="B23:C23"/>
    <mergeCell ref="B29:C29"/>
    <mergeCell ref="B28:C28"/>
    <mergeCell ref="B16:C16"/>
    <mergeCell ref="M28:O28"/>
    <mergeCell ref="B15:C15"/>
    <mergeCell ref="B14:C14"/>
    <mergeCell ref="B12:C12"/>
    <mergeCell ref="B11:C11"/>
    <mergeCell ref="M12:O12"/>
    <mergeCell ref="M13:O13"/>
    <mergeCell ref="G11:I12"/>
    <mergeCell ref="B27:C27"/>
    <mergeCell ref="B26:C26"/>
    <mergeCell ref="B25:C25"/>
    <mergeCell ref="B24:C24"/>
    <mergeCell ref="D22:E22"/>
    <mergeCell ref="B2:F3"/>
    <mergeCell ref="B4:F5"/>
    <mergeCell ref="B8:C9"/>
    <mergeCell ref="D15:E15"/>
    <mergeCell ref="B13:C13"/>
  </mergeCells>
  <printOptions horizontalCentered="1" verticalCentered="1"/>
  <pageMargins left="0.15748031496062992" right="0.15748031496062992" top="0.15748031496062992" bottom="0.15748031496062992" header="0.1968503937007874" footer="0.15748031496062992"/>
  <pageSetup fitToHeight="1" fitToWidth="1" horizontalDpi="600" verticalDpi="600" orientation="landscape" paperSize="9" scale="67" r:id="rId2"/>
  <headerFooter>
    <oddFooter>&amp;Rgedruckt: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"/>
  <sheetViews>
    <sheetView showGridLines="0" showRowColHeaders="0" zoomScalePageLayoutView="0" workbookViewId="0" topLeftCell="A1">
      <selection activeCell="C14" sqref="C14"/>
    </sheetView>
  </sheetViews>
  <sheetFormatPr defaultColWidth="11.421875" defaultRowHeight="15"/>
  <cols>
    <col min="1" max="1" width="5.00390625" style="50" customWidth="1"/>
    <col min="2" max="3" width="17.00390625" style="50" customWidth="1"/>
    <col min="4" max="4" width="1.7109375" style="50" customWidth="1"/>
    <col min="5" max="5" width="5.00390625" style="50" customWidth="1"/>
    <col min="6" max="7" width="17.00390625" style="50" customWidth="1"/>
    <col min="8" max="8" width="1.7109375" style="53" customWidth="1"/>
    <col min="9" max="9" width="5.00390625" style="50" customWidth="1"/>
    <col min="10" max="11" width="17.00390625" style="50" customWidth="1"/>
    <col min="12" max="12" width="1.7109375" style="53" customWidth="1"/>
    <col min="13" max="13" width="5.00390625" style="50" customWidth="1"/>
    <col min="14" max="15" width="17.00390625" style="50" customWidth="1"/>
    <col min="16" max="16" width="1.7109375" style="53" customWidth="1"/>
    <col min="17" max="17" width="5.00390625" style="50" customWidth="1"/>
    <col min="18" max="19" width="17.00390625" style="50" customWidth="1"/>
    <col min="20" max="20" width="1.7109375" style="53" customWidth="1"/>
    <col min="21" max="21" width="5.00390625" style="50" customWidth="1"/>
    <col min="22" max="23" width="17.00390625" style="50" customWidth="1"/>
    <col min="24" max="16384" width="11.421875" style="50" customWidth="1"/>
  </cols>
  <sheetData>
    <row r="1" ht="30.75">
      <c r="A1" s="59" t="str">
        <f>"Spielerdaten "&amp;"Saison "&amp;Saisondaten!B3</f>
        <v>Spielerdaten Saison 2018</v>
      </c>
    </row>
    <row r="2" ht="17.25">
      <c r="A2" s="60" t="s">
        <v>59</v>
      </c>
    </row>
    <row r="4" spans="1:23" ht="26.25">
      <c r="A4" s="330" t="str">
        <f>Saisondaten!B18</f>
        <v>KRM Essen</v>
      </c>
      <c r="B4" s="330"/>
      <c r="C4" s="330"/>
      <c r="D4" s="51"/>
      <c r="E4" s="330" t="str">
        <f>Saisondaten!B19</f>
        <v>WSF Liblar</v>
      </c>
      <c r="F4" s="330"/>
      <c r="G4" s="330"/>
      <c r="H4" s="52"/>
      <c r="I4" s="330" t="str">
        <f>Saisondaten!B20</f>
        <v>1. MKC Duisburg</v>
      </c>
      <c r="J4" s="330"/>
      <c r="K4" s="330"/>
      <c r="L4" s="52"/>
      <c r="M4" s="330" t="str">
        <f>Saisondaten!B21</f>
        <v>KC Wetter</v>
      </c>
      <c r="N4" s="330"/>
      <c r="O4" s="330"/>
      <c r="P4" s="52"/>
      <c r="Q4" s="330" t="str">
        <f>Saisondaten!B22</f>
        <v>KGW Essen</v>
      </c>
      <c r="R4" s="330"/>
      <c r="S4" s="330"/>
      <c r="T4" s="52"/>
      <c r="U4" s="330" t="str">
        <f>Saisondaten!B23</f>
        <v>Göttinger PC</v>
      </c>
      <c r="V4" s="330"/>
      <c r="W4" s="330"/>
    </row>
    <row r="5" spans="1:23" s="56" customFormat="1" ht="17.25">
      <c r="A5" s="58" t="s">
        <v>135</v>
      </c>
      <c r="B5" s="58" t="s">
        <v>18</v>
      </c>
      <c r="C5" s="58" t="s">
        <v>19</v>
      </c>
      <c r="D5" s="54"/>
      <c r="E5" s="58" t="s">
        <v>135</v>
      </c>
      <c r="F5" s="58" t="s">
        <v>18</v>
      </c>
      <c r="G5" s="58" t="s">
        <v>19</v>
      </c>
      <c r="H5" s="55"/>
      <c r="I5" s="58" t="s">
        <v>135</v>
      </c>
      <c r="J5" s="58" t="s">
        <v>18</v>
      </c>
      <c r="K5" s="58" t="s">
        <v>19</v>
      </c>
      <c r="L5" s="55"/>
      <c r="M5" s="58" t="s">
        <v>135</v>
      </c>
      <c r="N5" s="58" t="s">
        <v>18</v>
      </c>
      <c r="O5" s="58" t="s">
        <v>19</v>
      </c>
      <c r="P5" s="55"/>
      <c r="Q5" s="58" t="s">
        <v>135</v>
      </c>
      <c r="R5" s="58" t="s">
        <v>18</v>
      </c>
      <c r="S5" s="58" t="s">
        <v>19</v>
      </c>
      <c r="T5" s="55"/>
      <c r="U5" s="58" t="s">
        <v>135</v>
      </c>
      <c r="V5" s="58" t="s">
        <v>18</v>
      </c>
      <c r="W5" s="58" t="s">
        <v>19</v>
      </c>
    </row>
    <row r="6" spans="1:23" ht="16.5">
      <c r="A6" s="61"/>
      <c r="B6" s="61"/>
      <c r="C6" s="61"/>
      <c r="D6" s="57"/>
      <c r="E6" s="61"/>
      <c r="F6" s="61"/>
      <c r="G6" s="61"/>
      <c r="I6" s="61"/>
      <c r="J6" s="61"/>
      <c r="K6" s="61"/>
      <c r="M6" s="61"/>
      <c r="N6" s="61"/>
      <c r="O6" s="61"/>
      <c r="Q6" s="61"/>
      <c r="R6" s="61"/>
      <c r="S6" s="61"/>
      <c r="U6" s="61"/>
      <c r="V6" s="61"/>
      <c r="W6" s="61"/>
    </row>
    <row r="7" spans="1:23" ht="16.5">
      <c r="A7" s="61"/>
      <c r="B7" s="61"/>
      <c r="C7" s="61"/>
      <c r="D7" s="57"/>
      <c r="E7" s="61"/>
      <c r="F7" s="61"/>
      <c r="G7" s="61"/>
      <c r="I7" s="61"/>
      <c r="J7" s="61"/>
      <c r="K7" s="61"/>
      <c r="M7" s="61"/>
      <c r="N7" s="61"/>
      <c r="O7" s="61"/>
      <c r="Q7" s="61"/>
      <c r="R7" s="61"/>
      <c r="S7" s="61"/>
      <c r="U7" s="61"/>
      <c r="V7" s="61"/>
      <c r="W7" s="61"/>
    </row>
    <row r="8" spans="1:23" ht="16.5">
      <c r="A8" s="61"/>
      <c r="B8" s="61"/>
      <c r="C8" s="61"/>
      <c r="E8" s="61"/>
      <c r="F8" s="61"/>
      <c r="G8" s="61"/>
      <c r="I8" s="61"/>
      <c r="J8" s="61"/>
      <c r="K8" s="61"/>
      <c r="M8" s="61"/>
      <c r="N8" s="61"/>
      <c r="O8" s="61"/>
      <c r="Q8" s="61"/>
      <c r="R8" s="61"/>
      <c r="S8" s="61"/>
      <c r="U8" s="61"/>
      <c r="V8" s="61"/>
      <c r="W8" s="61"/>
    </row>
    <row r="9" spans="1:23" ht="16.5">
      <c r="A9" s="61"/>
      <c r="B9" s="61"/>
      <c r="C9" s="61"/>
      <c r="E9" s="61"/>
      <c r="F9" s="61"/>
      <c r="G9" s="61"/>
      <c r="I9" s="61"/>
      <c r="J9" s="61"/>
      <c r="K9" s="61"/>
      <c r="M9" s="61"/>
      <c r="N9" s="61"/>
      <c r="O9" s="61"/>
      <c r="Q9" s="61"/>
      <c r="R9" s="61"/>
      <c r="S9" s="61"/>
      <c r="U9" s="61"/>
      <c r="V9" s="61"/>
      <c r="W9" s="61"/>
    </row>
    <row r="10" spans="1:23" ht="16.5">
      <c r="A10" s="61"/>
      <c r="B10" s="61"/>
      <c r="C10" s="61"/>
      <c r="E10" s="61"/>
      <c r="F10" s="61"/>
      <c r="G10" s="61"/>
      <c r="I10" s="61"/>
      <c r="J10" s="61"/>
      <c r="K10" s="61"/>
      <c r="M10" s="61"/>
      <c r="N10" s="61"/>
      <c r="O10" s="61"/>
      <c r="Q10" s="61"/>
      <c r="R10" s="61"/>
      <c r="S10" s="61"/>
      <c r="U10" s="61"/>
      <c r="V10" s="61"/>
      <c r="W10" s="61"/>
    </row>
    <row r="11" spans="1:23" ht="16.5">
      <c r="A11" s="61"/>
      <c r="B11" s="61"/>
      <c r="C11" s="61"/>
      <c r="E11" s="61"/>
      <c r="F11" s="61"/>
      <c r="G11" s="61"/>
      <c r="I11" s="61"/>
      <c r="J11" s="61"/>
      <c r="K11" s="61"/>
      <c r="M11" s="61"/>
      <c r="N11" s="61"/>
      <c r="O11" s="61"/>
      <c r="Q11" s="61"/>
      <c r="R11" s="61"/>
      <c r="S11" s="61"/>
      <c r="U11" s="61"/>
      <c r="V11" s="61"/>
      <c r="W11" s="61"/>
    </row>
    <row r="12" spans="1:23" ht="16.5">
      <c r="A12" s="61"/>
      <c r="B12" s="61"/>
      <c r="C12" s="61"/>
      <c r="E12" s="61"/>
      <c r="F12" s="61"/>
      <c r="G12" s="61"/>
      <c r="I12" s="61"/>
      <c r="J12" s="61"/>
      <c r="K12" s="61"/>
      <c r="M12" s="61"/>
      <c r="N12" s="61"/>
      <c r="O12" s="61"/>
      <c r="Q12" s="61"/>
      <c r="R12" s="61"/>
      <c r="S12" s="61"/>
      <c r="U12" s="61"/>
      <c r="V12" s="61"/>
      <c r="W12" s="61"/>
    </row>
    <row r="13" spans="1:23" ht="16.5">
      <c r="A13" s="61"/>
      <c r="B13" s="61"/>
      <c r="C13" s="61"/>
      <c r="E13" s="61"/>
      <c r="F13" s="61"/>
      <c r="G13" s="61"/>
      <c r="I13" s="61"/>
      <c r="J13" s="61"/>
      <c r="K13" s="61"/>
      <c r="M13" s="61"/>
      <c r="N13" s="61"/>
      <c r="O13" s="61"/>
      <c r="Q13" s="61"/>
      <c r="R13" s="61"/>
      <c r="S13" s="61"/>
      <c r="U13" s="61"/>
      <c r="V13" s="61"/>
      <c r="W13" s="61"/>
    </row>
    <row r="14" spans="1:23" ht="16.5">
      <c r="A14" s="61"/>
      <c r="B14" s="61"/>
      <c r="C14" s="61"/>
      <c r="E14" s="61"/>
      <c r="F14" s="61"/>
      <c r="G14" s="61"/>
      <c r="I14" s="61"/>
      <c r="J14" s="61"/>
      <c r="K14" s="61"/>
      <c r="M14" s="61"/>
      <c r="N14" s="61"/>
      <c r="O14" s="61"/>
      <c r="Q14" s="61"/>
      <c r="R14" s="61"/>
      <c r="S14" s="61"/>
      <c r="U14" s="61"/>
      <c r="V14" s="61"/>
      <c r="W14" s="61"/>
    </row>
    <row r="15" spans="1:23" ht="16.5">
      <c r="A15" s="61"/>
      <c r="B15" s="61"/>
      <c r="C15" s="61"/>
      <c r="E15" s="61"/>
      <c r="F15" s="61"/>
      <c r="G15" s="61"/>
      <c r="I15" s="61"/>
      <c r="J15" s="61"/>
      <c r="K15" s="61"/>
      <c r="M15" s="61"/>
      <c r="N15" s="61"/>
      <c r="O15" s="61"/>
      <c r="Q15" s="61"/>
      <c r="R15" s="61"/>
      <c r="S15" s="61"/>
      <c r="U15" s="61"/>
      <c r="V15" s="61"/>
      <c r="W15" s="61"/>
    </row>
    <row r="18" spans="1:23" ht="26.25">
      <c r="A18" s="330" t="str">
        <f>Saisondaten!C18</f>
        <v>ACC Hamburg</v>
      </c>
      <c r="B18" s="330"/>
      <c r="C18" s="330"/>
      <c r="D18" s="51"/>
      <c r="E18" s="330" t="str">
        <f>Saisondaten!C19</f>
        <v>KCNW Berlin</v>
      </c>
      <c r="F18" s="330"/>
      <c r="G18" s="330"/>
      <c r="H18" s="52"/>
      <c r="I18" s="330" t="str">
        <f>Saisondaten!C20</f>
        <v>RSV Hannover</v>
      </c>
      <c r="J18" s="330"/>
      <c r="K18" s="330"/>
      <c r="L18" s="52"/>
      <c r="M18" s="330" t="str">
        <f>Saisondaten!C21</f>
        <v>VK Berlin</v>
      </c>
      <c r="N18" s="330"/>
      <c r="O18" s="330"/>
      <c r="P18" s="52"/>
      <c r="Q18" s="330" t="str">
        <f>Saisondaten!C22</f>
        <v>KSV Glauchau</v>
      </c>
      <c r="R18" s="330"/>
      <c r="S18" s="330"/>
      <c r="T18" s="52"/>
      <c r="U18" s="330" t="str">
        <f>Saisondaten!C23</f>
        <v>KSVH Berlin</v>
      </c>
      <c r="V18" s="330"/>
      <c r="W18" s="330"/>
    </row>
    <row r="19" spans="1:23" s="56" customFormat="1" ht="17.25">
      <c r="A19" s="58" t="s">
        <v>135</v>
      </c>
      <c r="B19" s="58" t="s">
        <v>18</v>
      </c>
      <c r="C19" s="58" t="s">
        <v>19</v>
      </c>
      <c r="D19" s="54"/>
      <c r="E19" s="58" t="s">
        <v>135</v>
      </c>
      <c r="F19" s="58" t="s">
        <v>18</v>
      </c>
      <c r="G19" s="58" t="s">
        <v>19</v>
      </c>
      <c r="H19" s="55"/>
      <c r="I19" s="58" t="s">
        <v>135</v>
      </c>
      <c r="J19" s="58" t="s">
        <v>18</v>
      </c>
      <c r="K19" s="58" t="s">
        <v>19</v>
      </c>
      <c r="L19" s="55"/>
      <c r="M19" s="58" t="s">
        <v>135</v>
      </c>
      <c r="N19" s="58" t="s">
        <v>18</v>
      </c>
      <c r="O19" s="58" t="s">
        <v>19</v>
      </c>
      <c r="P19" s="55"/>
      <c r="Q19" s="58" t="s">
        <v>135</v>
      </c>
      <c r="R19" s="58" t="s">
        <v>18</v>
      </c>
      <c r="S19" s="58" t="s">
        <v>19</v>
      </c>
      <c r="T19" s="55"/>
      <c r="U19" s="58" t="s">
        <v>135</v>
      </c>
      <c r="V19" s="58" t="s">
        <v>18</v>
      </c>
      <c r="W19" s="58" t="s">
        <v>19</v>
      </c>
    </row>
    <row r="20" spans="1:23" ht="16.5">
      <c r="A20" s="61"/>
      <c r="B20" s="61"/>
      <c r="C20" s="61"/>
      <c r="D20" s="57"/>
      <c r="E20" s="61"/>
      <c r="F20" s="61"/>
      <c r="G20" s="61"/>
      <c r="I20" s="61"/>
      <c r="J20" s="61"/>
      <c r="K20" s="61"/>
      <c r="M20" s="61"/>
      <c r="N20" s="61"/>
      <c r="O20" s="61"/>
      <c r="Q20" s="61"/>
      <c r="R20" s="61"/>
      <c r="S20" s="61"/>
      <c r="U20" s="61"/>
      <c r="V20" s="61"/>
      <c r="W20" s="61"/>
    </row>
    <row r="21" spans="1:23" ht="16.5">
      <c r="A21" s="61"/>
      <c r="B21" s="61"/>
      <c r="C21" s="61"/>
      <c r="D21" s="57"/>
      <c r="E21" s="61"/>
      <c r="F21" s="61"/>
      <c r="G21" s="61"/>
      <c r="I21" s="61"/>
      <c r="J21" s="61"/>
      <c r="K21" s="61"/>
      <c r="M21" s="61"/>
      <c r="N21" s="61"/>
      <c r="O21" s="61"/>
      <c r="Q21" s="61"/>
      <c r="R21" s="61"/>
      <c r="S21" s="61"/>
      <c r="U21" s="61"/>
      <c r="V21" s="61"/>
      <c r="W21" s="61"/>
    </row>
    <row r="22" spans="1:23" ht="16.5">
      <c r="A22" s="61"/>
      <c r="B22" s="61"/>
      <c r="C22" s="61"/>
      <c r="E22" s="61"/>
      <c r="F22" s="61"/>
      <c r="G22" s="61"/>
      <c r="I22" s="61"/>
      <c r="J22" s="61"/>
      <c r="K22" s="61"/>
      <c r="M22" s="61"/>
      <c r="N22" s="61"/>
      <c r="O22" s="61"/>
      <c r="Q22" s="61"/>
      <c r="R22" s="61"/>
      <c r="S22" s="61"/>
      <c r="U22" s="61"/>
      <c r="V22" s="61"/>
      <c r="W22" s="61"/>
    </row>
    <row r="23" spans="1:23" ht="16.5">
      <c r="A23" s="61"/>
      <c r="B23" s="61"/>
      <c r="C23" s="61"/>
      <c r="E23" s="61"/>
      <c r="F23" s="61"/>
      <c r="G23" s="61"/>
      <c r="I23" s="61"/>
      <c r="J23" s="61"/>
      <c r="K23" s="61"/>
      <c r="M23" s="61"/>
      <c r="N23" s="61"/>
      <c r="O23" s="61"/>
      <c r="Q23" s="61"/>
      <c r="R23" s="61"/>
      <c r="S23" s="61"/>
      <c r="U23" s="61"/>
      <c r="V23" s="61"/>
      <c r="W23" s="61"/>
    </row>
    <row r="24" spans="1:23" ht="16.5">
      <c r="A24" s="61"/>
      <c r="B24" s="61"/>
      <c r="C24" s="61"/>
      <c r="E24" s="61"/>
      <c r="F24" s="61"/>
      <c r="G24" s="61"/>
      <c r="I24" s="61"/>
      <c r="J24" s="61"/>
      <c r="K24" s="61"/>
      <c r="M24" s="61"/>
      <c r="N24" s="61"/>
      <c r="O24" s="61"/>
      <c r="Q24" s="61"/>
      <c r="R24" s="61"/>
      <c r="S24" s="61"/>
      <c r="U24" s="61"/>
      <c r="V24" s="61"/>
      <c r="W24" s="61"/>
    </row>
    <row r="25" spans="1:23" ht="16.5">
      <c r="A25" s="61"/>
      <c r="B25" s="61"/>
      <c r="C25" s="61"/>
      <c r="E25" s="61"/>
      <c r="F25" s="61"/>
      <c r="G25" s="61"/>
      <c r="I25" s="61"/>
      <c r="J25" s="61"/>
      <c r="K25" s="61"/>
      <c r="M25" s="61"/>
      <c r="N25" s="61"/>
      <c r="O25" s="61"/>
      <c r="Q25" s="61"/>
      <c r="R25" s="61"/>
      <c r="S25" s="61"/>
      <c r="U25" s="61"/>
      <c r="V25" s="61"/>
      <c r="W25" s="61"/>
    </row>
    <row r="26" spans="1:23" ht="16.5">
      <c r="A26" s="61"/>
      <c r="B26" s="61"/>
      <c r="C26" s="61"/>
      <c r="E26" s="61"/>
      <c r="F26" s="61"/>
      <c r="G26" s="61"/>
      <c r="I26" s="61"/>
      <c r="J26" s="61"/>
      <c r="K26" s="61"/>
      <c r="M26" s="61"/>
      <c r="N26" s="61"/>
      <c r="O26" s="61"/>
      <c r="Q26" s="61"/>
      <c r="R26" s="61"/>
      <c r="S26" s="61"/>
      <c r="U26" s="61"/>
      <c r="V26" s="61"/>
      <c r="W26" s="61"/>
    </row>
    <row r="27" spans="1:23" ht="16.5">
      <c r="A27" s="61"/>
      <c r="B27" s="61"/>
      <c r="C27" s="61"/>
      <c r="E27" s="61"/>
      <c r="F27" s="61"/>
      <c r="G27" s="61"/>
      <c r="I27" s="61"/>
      <c r="J27" s="61"/>
      <c r="K27" s="61"/>
      <c r="M27" s="61"/>
      <c r="N27" s="61"/>
      <c r="O27" s="61"/>
      <c r="Q27" s="61"/>
      <c r="R27" s="61"/>
      <c r="S27" s="61"/>
      <c r="U27" s="61"/>
      <c r="V27" s="61"/>
      <c r="W27" s="61"/>
    </row>
    <row r="28" spans="1:23" ht="16.5">
      <c r="A28" s="61"/>
      <c r="B28" s="61"/>
      <c r="C28" s="61"/>
      <c r="E28" s="61"/>
      <c r="F28" s="61"/>
      <c r="G28" s="61"/>
      <c r="I28" s="61"/>
      <c r="J28" s="61"/>
      <c r="K28" s="61"/>
      <c r="M28" s="61"/>
      <c r="N28" s="61"/>
      <c r="O28" s="61"/>
      <c r="Q28" s="61"/>
      <c r="R28" s="61"/>
      <c r="S28" s="61"/>
      <c r="U28" s="61"/>
      <c r="V28" s="61"/>
      <c r="W28" s="61"/>
    </row>
    <row r="29" spans="1:23" ht="16.5">
      <c r="A29" s="61"/>
      <c r="B29" s="61"/>
      <c r="C29" s="61"/>
      <c r="E29" s="61"/>
      <c r="F29" s="61"/>
      <c r="G29" s="61"/>
      <c r="I29" s="61"/>
      <c r="J29" s="61"/>
      <c r="K29" s="61"/>
      <c r="M29" s="61"/>
      <c r="N29" s="61"/>
      <c r="O29" s="61"/>
      <c r="Q29" s="61"/>
      <c r="R29" s="61"/>
      <c r="S29" s="61"/>
      <c r="U29" s="61"/>
      <c r="V29" s="61"/>
      <c r="W29" s="61"/>
    </row>
  </sheetData>
  <sheetProtection sheet="1" objects="1" scenarios="1" selectLockedCells="1"/>
  <mergeCells count="12">
    <mergeCell ref="A4:C4"/>
    <mergeCell ref="A18:C18"/>
    <mergeCell ref="E18:G18"/>
    <mergeCell ref="I18:K18"/>
    <mergeCell ref="M18:O18"/>
    <mergeCell ref="U4:W4"/>
    <mergeCell ref="Q4:S4"/>
    <mergeCell ref="M4:O4"/>
    <mergeCell ref="I4:K4"/>
    <mergeCell ref="E4:G4"/>
    <mergeCell ref="Q18:S18"/>
    <mergeCell ref="U18:W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3:U19"/>
  <sheetViews>
    <sheetView showGridLines="0" showRowColHeaders="0" zoomScalePageLayoutView="0" workbookViewId="0" topLeftCell="A1">
      <selection activeCell="R7" sqref="R7"/>
    </sheetView>
  </sheetViews>
  <sheetFormatPr defaultColWidth="11.421875" defaultRowHeight="15"/>
  <cols>
    <col min="1" max="1" width="11.421875" style="152" customWidth="1"/>
    <col min="2" max="2" width="7.28125" style="152" bestFit="1" customWidth="1"/>
    <col min="3" max="3" width="22.421875" style="152" customWidth="1"/>
    <col min="4" max="4" width="12.57421875" style="152" customWidth="1"/>
    <col min="5" max="5" width="9.421875" style="152" customWidth="1"/>
    <col min="6" max="8" width="6.00390625" style="152" customWidth="1"/>
    <col min="9" max="9" width="2.140625" style="152" customWidth="1"/>
    <col min="10" max="10" width="4.7109375" style="152" customWidth="1"/>
    <col min="11" max="11" width="2.00390625" style="152" bestFit="1" customWidth="1"/>
    <col min="12" max="12" width="4.7109375" style="152" customWidth="1"/>
    <col min="13" max="13" width="12.140625" style="152" customWidth="1"/>
    <col min="14" max="14" width="12.57421875" style="152" customWidth="1"/>
    <col min="15" max="15" width="11.421875" style="152" customWidth="1"/>
    <col min="16" max="16" width="16.57421875" style="152" bestFit="1" customWidth="1"/>
    <col min="17" max="17" width="2.8515625" style="152" customWidth="1"/>
    <col min="18" max="18" width="16.57421875" style="152" bestFit="1" customWidth="1"/>
    <col min="19" max="21" width="0" style="152" hidden="1" customWidth="1"/>
    <col min="22" max="16384" width="11.421875" style="152" customWidth="1"/>
  </cols>
  <sheetData>
    <row r="2" ht="16.5"/>
    <row r="3" spans="2:15" ht="26.25">
      <c r="B3" s="334" t="str">
        <f>"Kanupolo Bundesliga "&amp;Saisondaten!$B$3&amp;""</f>
        <v>Kanupolo Bundesliga 2018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51"/>
    </row>
    <row r="4" ht="7.5" customHeight="1"/>
    <row r="5" spans="2:14" ht="18">
      <c r="B5" s="331" t="str">
        <f>P7</f>
        <v>Gesamttabelle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2:18" ht="18">
      <c r="B6" s="332" t="s">
        <v>44</v>
      </c>
      <c r="C6" s="331" t="s">
        <v>45</v>
      </c>
      <c r="D6" s="331" t="s">
        <v>8</v>
      </c>
      <c r="E6" s="332" t="s">
        <v>46</v>
      </c>
      <c r="F6" s="331" t="s">
        <v>54</v>
      </c>
      <c r="G6" s="331" t="s">
        <v>47</v>
      </c>
      <c r="H6" s="331" t="s">
        <v>53</v>
      </c>
      <c r="I6" s="153"/>
      <c r="J6" s="335" t="s">
        <v>49</v>
      </c>
      <c r="K6" s="335"/>
      <c r="L6" s="335"/>
      <c r="M6" s="335"/>
      <c r="N6" s="332" t="s">
        <v>48</v>
      </c>
      <c r="P6" s="152" t="s">
        <v>62</v>
      </c>
      <c r="R6" s="152" t="s">
        <v>65</v>
      </c>
    </row>
    <row r="7" spans="2:21" ht="18">
      <c r="B7" s="332"/>
      <c r="C7" s="331"/>
      <c r="D7" s="331"/>
      <c r="E7" s="332"/>
      <c r="F7" s="331"/>
      <c r="G7" s="331"/>
      <c r="H7" s="331"/>
      <c r="I7" s="153"/>
      <c r="J7" s="154" t="s">
        <v>50</v>
      </c>
      <c r="K7" s="154" t="s">
        <v>43</v>
      </c>
      <c r="L7" s="154" t="s">
        <v>23</v>
      </c>
      <c r="M7" s="155" t="s">
        <v>51</v>
      </c>
      <c r="N7" s="333"/>
      <c r="P7" s="87" t="s">
        <v>52</v>
      </c>
      <c r="R7" s="87" t="s">
        <v>1</v>
      </c>
      <c r="S7" s="152">
        <v>1</v>
      </c>
      <c r="U7" s="152">
        <f>VLOOKUP(P7,R7:S13,2,FALSE)</f>
        <v>73</v>
      </c>
    </row>
    <row r="8" spans="2:21" ht="16.5">
      <c r="B8" s="156">
        <v>1</v>
      </c>
      <c r="C8" s="157" t="str">
        <f>VLOOKUP($U7,TabellenDB!$B$3:$J$500,3,FALSE)</f>
        <v>KRM Essen</v>
      </c>
      <c r="D8" s="158" t="str">
        <f>VLOOKUP($U7,TabellenDB!$B$3:$J$500,4,FALSE)</f>
        <v>A</v>
      </c>
      <c r="E8" s="156">
        <f>F8+G8+H8</f>
        <v>16</v>
      </c>
      <c r="F8" s="158">
        <f>VLOOKUP($U7,TabellenDB!$B$3:$J$500,5,FALSE)</f>
        <v>13</v>
      </c>
      <c r="G8" s="158">
        <f>VLOOKUP($U7,TabellenDB!$B$3:$J$500,6,FALSE)</f>
        <v>2</v>
      </c>
      <c r="H8" s="158">
        <f>VLOOKUP($U7,TabellenDB!$B$3:$J$500,7,FALSE)</f>
        <v>1</v>
      </c>
      <c r="I8" s="158"/>
      <c r="J8" s="158">
        <f>VLOOKUP($U7,TabellenDB!$B$3:$J$500,8,FALSE)</f>
        <v>86</v>
      </c>
      <c r="K8" s="158" t="s">
        <v>43</v>
      </c>
      <c r="L8" s="158">
        <f>VLOOKUP($U7,TabellenDB!$B$3:$J$500,9,FALSE)</f>
        <v>33</v>
      </c>
      <c r="M8" s="158">
        <f>J8-L8</f>
        <v>53</v>
      </c>
      <c r="N8" s="156">
        <f>F8*3+G8*1</f>
        <v>41</v>
      </c>
      <c r="R8" s="87" t="s">
        <v>2</v>
      </c>
      <c r="S8" s="152">
        <f aca="true" t="shared" si="0" ref="S8:S13">S7+12</f>
        <v>13</v>
      </c>
      <c r="U8" s="152">
        <f>U7+1</f>
        <v>74</v>
      </c>
    </row>
    <row r="9" spans="2:21" ht="16.5">
      <c r="B9" s="159">
        <v>2</v>
      </c>
      <c r="C9" s="160" t="str">
        <f>VLOOKUP($U8,TabellenDB!$B$3:$J$500,3,FALSE)</f>
        <v>WSF Liblar</v>
      </c>
      <c r="D9" s="161" t="str">
        <f>VLOOKUP($U8,TabellenDB!$B$3:$J$500,4,FALSE)</f>
        <v>A</v>
      </c>
      <c r="E9" s="159">
        <f aca="true" t="shared" si="1" ref="E9:E19">F9+G9+H9</f>
        <v>16</v>
      </c>
      <c r="F9" s="161">
        <f>VLOOKUP($U8,TabellenDB!$B$3:$J$500,5,FALSE)</f>
        <v>13</v>
      </c>
      <c r="G9" s="161">
        <f>VLOOKUP($U8,TabellenDB!$B$3:$J$500,6,FALSE)</f>
        <v>2</v>
      </c>
      <c r="H9" s="161">
        <f>VLOOKUP($U8,TabellenDB!$B$3:$J$500,7,FALSE)</f>
        <v>1</v>
      </c>
      <c r="I9" s="161"/>
      <c r="J9" s="161">
        <f>VLOOKUP($U8,TabellenDB!$B$3:$J$500,8,FALSE)</f>
        <v>65</v>
      </c>
      <c r="K9" s="161" t="s">
        <v>43</v>
      </c>
      <c r="L9" s="161">
        <f>VLOOKUP($U8,TabellenDB!$B$3:$J$500,9,FALSE)</f>
        <v>34</v>
      </c>
      <c r="M9" s="161">
        <f aca="true" t="shared" si="2" ref="M9:M19">J9-L9</f>
        <v>31</v>
      </c>
      <c r="N9" s="159">
        <f aca="true" t="shared" si="3" ref="N9:N19">F9*3+G9*1</f>
        <v>41</v>
      </c>
      <c r="R9" s="87" t="s">
        <v>3</v>
      </c>
      <c r="S9" s="152">
        <f t="shared" si="0"/>
        <v>25</v>
      </c>
      <c r="U9" s="152">
        <f aca="true" t="shared" si="4" ref="U9:U18">U8+1</f>
        <v>75</v>
      </c>
    </row>
    <row r="10" spans="2:21" ht="16.5">
      <c r="B10" s="159">
        <v>3</v>
      </c>
      <c r="C10" s="160" t="str">
        <f>VLOOKUP($U9,TabellenDB!$B$3:$J$500,3,FALSE)</f>
        <v>RSV Hannover</v>
      </c>
      <c r="D10" s="161" t="str">
        <f>VLOOKUP($U9,TabellenDB!$B$3:$J$500,4,FALSE)</f>
        <v>B</v>
      </c>
      <c r="E10" s="159">
        <f t="shared" si="1"/>
        <v>16</v>
      </c>
      <c r="F10" s="161">
        <f>VLOOKUP($U9,TabellenDB!$B$3:$J$500,5,FALSE)</f>
        <v>11</v>
      </c>
      <c r="G10" s="161">
        <f>VLOOKUP($U9,TabellenDB!$B$3:$J$500,6,FALSE)</f>
        <v>2</v>
      </c>
      <c r="H10" s="161">
        <f>VLOOKUP($U9,TabellenDB!$B$3:$J$500,7,FALSE)</f>
        <v>3</v>
      </c>
      <c r="I10" s="161"/>
      <c r="J10" s="161">
        <f>VLOOKUP($U9,TabellenDB!$B$3:$J$500,8,FALSE)</f>
        <v>57</v>
      </c>
      <c r="K10" s="161" t="s">
        <v>43</v>
      </c>
      <c r="L10" s="161">
        <f>VLOOKUP($U9,TabellenDB!$B$3:$J$500,9,FALSE)</f>
        <v>36</v>
      </c>
      <c r="M10" s="161">
        <f t="shared" si="2"/>
        <v>21</v>
      </c>
      <c r="N10" s="159">
        <f t="shared" si="3"/>
        <v>35</v>
      </c>
      <c r="R10" s="87" t="s">
        <v>4</v>
      </c>
      <c r="S10" s="152">
        <f t="shared" si="0"/>
        <v>37</v>
      </c>
      <c r="U10" s="152">
        <f t="shared" si="4"/>
        <v>76</v>
      </c>
    </row>
    <row r="11" spans="2:21" ht="16.5">
      <c r="B11" s="162">
        <v>4</v>
      </c>
      <c r="C11" s="163" t="str">
        <f>VLOOKUP($U10,TabellenDB!$B$3:$J$500,3,FALSE)</f>
        <v>ACC Hamburg</v>
      </c>
      <c r="D11" s="152" t="str">
        <f>VLOOKUP($U10,TabellenDB!$B$3:$J$500,4,FALSE)</f>
        <v>B</v>
      </c>
      <c r="E11" s="162">
        <f t="shared" si="1"/>
        <v>16</v>
      </c>
      <c r="F11" s="152">
        <f>VLOOKUP($U10,TabellenDB!$B$3:$J$500,5,FALSE)</f>
        <v>10</v>
      </c>
      <c r="G11" s="152">
        <f>VLOOKUP($U10,TabellenDB!$B$3:$J$500,6,FALSE)</f>
        <v>2</v>
      </c>
      <c r="H11" s="152">
        <f>VLOOKUP($U10,TabellenDB!$B$3:$J$500,7,FALSE)</f>
        <v>4</v>
      </c>
      <c r="J11" s="152">
        <f>VLOOKUP($U10,TabellenDB!$B$3:$J$500,8,FALSE)</f>
        <v>65</v>
      </c>
      <c r="K11" s="152" t="s">
        <v>43</v>
      </c>
      <c r="L11" s="152">
        <f>VLOOKUP($U10,TabellenDB!$B$3:$J$500,9,FALSE)</f>
        <v>43</v>
      </c>
      <c r="M11" s="152">
        <f t="shared" si="2"/>
        <v>22</v>
      </c>
      <c r="N11" s="162">
        <f t="shared" si="3"/>
        <v>32</v>
      </c>
      <c r="R11" s="87" t="s">
        <v>63</v>
      </c>
      <c r="S11" s="152">
        <f t="shared" si="0"/>
        <v>49</v>
      </c>
      <c r="U11" s="152">
        <f t="shared" si="4"/>
        <v>77</v>
      </c>
    </row>
    <row r="12" spans="2:21" ht="16.5">
      <c r="B12" s="162">
        <v>5</v>
      </c>
      <c r="C12" s="163" t="str">
        <f>VLOOKUP($U11,TabellenDB!$B$3:$J$500,3,FALSE)</f>
        <v>KSVH Berlin</v>
      </c>
      <c r="D12" s="152" t="str">
        <f>VLOOKUP($U11,TabellenDB!$B$3:$J$500,4,FALSE)</f>
        <v>B</v>
      </c>
      <c r="E12" s="162">
        <f t="shared" si="1"/>
        <v>16</v>
      </c>
      <c r="F12" s="152">
        <f>VLOOKUP($U11,TabellenDB!$B$3:$J$500,5,FALSE)</f>
        <v>9</v>
      </c>
      <c r="G12" s="152">
        <f>VLOOKUP($U11,TabellenDB!$B$3:$J$500,6,FALSE)</f>
        <v>3</v>
      </c>
      <c r="H12" s="152">
        <f>VLOOKUP($U11,TabellenDB!$B$3:$J$500,7,FALSE)</f>
        <v>4</v>
      </c>
      <c r="J12" s="152">
        <f>VLOOKUP($U11,TabellenDB!$B$3:$J$500,8,FALSE)</f>
        <v>65</v>
      </c>
      <c r="K12" s="152" t="s">
        <v>43</v>
      </c>
      <c r="L12" s="152">
        <f>VLOOKUP($U11,TabellenDB!$B$3:$J$500,9,FALSE)</f>
        <v>44</v>
      </c>
      <c r="M12" s="152">
        <f t="shared" si="2"/>
        <v>21</v>
      </c>
      <c r="N12" s="162">
        <f t="shared" si="3"/>
        <v>30</v>
      </c>
      <c r="R12" s="87" t="s">
        <v>64</v>
      </c>
      <c r="S12" s="152">
        <f t="shared" si="0"/>
        <v>61</v>
      </c>
      <c r="U12" s="152">
        <f t="shared" si="4"/>
        <v>78</v>
      </c>
    </row>
    <row r="13" spans="2:21" ht="16.5">
      <c r="B13" s="162">
        <v>6</v>
      </c>
      <c r="C13" s="163" t="str">
        <f>VLOOKUP($U12,TabellenDB!$B$3:$J$500,3,FALSE)</f>
        <v>1. MKC Duisburg</v>
      </c>
      <c r="D13" s="152" t="str">
        <f>VLOOKUP($U12,TabellenDB!$B$3:$J$500,4,FALSE)</f>
        <v>A</v>
      </c>
      <c r="E13" s="162">
        <f t="shared" si="1"/>
        <v>16</v>
      </c>
      <c r="F13" s="152">
        <f>VLOOKUP($U12,TabellenDB!$B$3:$J$500,5,FALSE)</f>
        <v>7</v>
      </c>
      <c r="G13" s="152">
        <f>VLOOKUP($U12,TabellenDB!$B$3:$J$500,6,FALSE)</f>
        <v>4</v>
      </c>
      <c r="H13" s="152">
        <f>VLOOKUP($U12,TabellenDB!$B$3:$J$500,7,FALSE)</f>
        <v>5</v>
      </c>
      <c r="J13" s="152">
        <f>VLOOKUP($U12,TabellenDB!$B$3:$J$500,8,FALSE)</f>
        <v>56</v>
      </c>
      <c r="K13" s="152" t="s">
        <v>43</v>
      </c>
      <c r="L13" s="152">
        <f>VLOOKUP($U12,TabellenDB!$B$3:$J$500,9,FALSE)</f>
        <v>41</v>
      </c>
      <c r="M13" s="152">
        <f t="shared" si="2"/>
        <v>15</v>
      </c>
      <c r="N13" s="162">
        <f t="shared" si="3"/>
        <v>25</v>
      </c>
      <c r="R13" s="87" t="s">
        <v>52</v>
      </c>
      <c r="S13" s="152">
        <f t="shared" si="0"/>
        <v>73</v>
      </c>
      <c r="U13" s="152">
        <f t="shared" si="4"/>
        <v>79</v>
      </c>
    </row>
    <row r="14" spans="2:21" ht="16.5">
      <c r="B14" s="162">
        <v>7</v>
      </c>
      <c r="C14" s="163" t="str">
        <f>VLOOKUP($U13,TabellenDB!$B$3:$J$500,3,FALSE)</f>
        <v>KCNW Berlin</v>
      </c>
      <c r="D14" s="152" t="str">
        <f>VLOOKUP($U13,TabellenDB!$B$3:$J$500,4,FALSE)</f>
        <v>B</v>
      </c>
      <c r="E14" s="162">
        <f t="shared" si="1"/>
        <v>16</v>
      </c>
      <c r="F14" s="152">
        <f>VLOOKUP($U13,TabellenDB!$B$3:$J$500,5,FALSE)</f>
        <v>8</v>
      </c>
      <c r="G14" s="152">
        <f>VLOOKUP($U13,TabellenDB!$B$3:$J$500,6,FALSE)</f>
        <v>1</v>
      </c>
      <c r="H14" s="152">
        <f>VLOOKUP($U13,TabellenDB!$B$3:$J$500,7,FALSE)</f>
        <v>7</v>
      </c>
      <c r="J14" s="152">
        <f>VLOOKUP($U13,TabellenDB!$B$3:$J$500,8,FALSE)</f>
        <v>53</v>
      </c>
      <c r="K14" s="152" t="s">
        <v>43</v>
      </c>
      <c r="L14" s="152">
        <f>VLOOKUP($U13,TabellenDB!$B$3:$J$500,9,FALSE)</f>
        <v>44</v>
      </c>
      <c r="M14" s="152">
        <f t="shared" si="2"/>
        <v>9</v>
      </c>
      <c r="N14" s="162">
        <f t="shared" si="3"/>
        <v>25</v>
      </c>
      <c r="U14" s="152">
        <f t="shared" si="4"/>
        <v>80</v>
      </c>
    </row>
    <row r="15" spans="2:21" ht="16.5">
      <c r="B15" s="162">
        <v>8</v>
      </c>
      <c r="C15" s="163" t="str">
        <f>VLOOKUP($U14,TabellenDB!$B$3:$J$500,3,FALSE)</f>
        <v>KGW Essen</v>
      </c>
      <c r="D15" s="152" t="str">
        <f>VLOOKUP($U14,TabellenDB!$B$3:$J$500,4,FALSE)</f>
        <v>A</v>
      </c>
      <c r="E15" s="162">
        <f t="shared" si="1"/>
        <v>16</v>
      </c>
      <c r="F15" s="152">
        <f>VLOOKUP($U14,TabellenDB!$B$3:$J$500,5,FALSE)</f>
        <v>3</v>
      </c>
      <c r="G15" s="152">
        <f>VLOOKUP($U14,TabellenDB!$B$3:$J$500,6,FALSE)</f>
        <v>6</v>
      </c>
      <c r="H15" s="152">
        <f>VLOOKUP($U14,TabellenDB!$B$3:$J$500,7,FALSE)</f>
        <v>7</v>
      </c>
      <c r="J15" s="152">
        <f>VLOOKUP($U14,TabellenDB!$B$3:$J$500,8,FALSE)</f>
        <v>37</v>
      </c>
      <c r="K15" s="152" t="s">
        <v>43</v>
      </c>
      <c r="L15" s="152">
        <f>VLOOKUP($U14,TabellenDB!$B$3:$J$500,9,FALSE)</f>
        <v>50</v>
      </c>
      <c r="M15" s="152">
        <f t="shared" si="2"/>
        <v>-13</v>
      </c>
      <c r="N15" s="162">
        <f t="shared" si="3"/>
        <v>15</v>
      </c>
      <c r="U15" s="152">
        <f t="shared" si="4"/>
        <v>81</v>
      </c>
    </row>
    <row r="16" spans="2:21" ht="16.5">
      <c r="B16" s="164">
        <v>9</v>
      </c>
      <c r="C16" s="165" t="str">
        <f>VLOOKUP($U15,TabellenDB!$B$3:$J$500,3,FALSE)</f>
        <v>VK Berlin</v>
      </c>
      <c r="D16" s="166" t="str">
        <f>VLOOKUP($U15,TabellenDB!$B$3:$J$500,4,FALSE)</f>
        <v>B</v>
      </c>
      <c r="E16" s="164">
        <f t="shared" si="1"/>
        <v>16</v>
      </c>
      <c r="F16" s="166">
        <f>VLOOKUP($U15,TabellenDB!$B$3:$J$500,5,FALSE)</f>
        <v>3</v>
      </c>
      <c r="G16" s="166">
        <f>VLOOKUP($U15,TabellenDB!$B$3:$J$500,6,FALSE)</f>
        <v>3</v>
      </c>
      <c r="H16" s="166">
        <f>VLOOKUP($U15,TabellenDB!$B$3:$J$500,7,FALSE)</f>
        <v>10</v>
      </c>
      <c r="I16" s="166"/>
      <c r="J16" s="166">
        <f>VLOOKUP($U15,TabellenDB!$B$3:$J$500,8,FALSE)</f>
        <v>45</v>
      </c>
      <c r="K16" s="166" t="s">
        <v>43</v>
      </c>
      <c r="L16" s="166">
        <f>VLOOKUP($U15,TabellenDB!$B$3:$J$500,9,FALSE)</f>
        <v>65</v>
      </c>
      <c r="M16" s="166">
        <f t="shared" si="2"/>
        <v>-20</v>
      </c>
      <c r="N16" s="164">
        <f t="shared" si="3"/>
        <v>12</v>
      </c>
      <c r="U16" s="152">
        <f t="shared" si="4"/>
        <v>82</v>
      </c>
    </row>
    <row r="17" spans="2:21" ht="16.5">
      <c r="B17" s="167">
        <v>10</v>
      </c>
      <c r="C17" s="168" t="str">
        <f>VLOOKUP($U16,TabellenDB!$B$3:$J$500,3,FALSE)</f>
        <v>KC Wetter</v>
      </c>
      <c r="D17" s="169" t="str">
        <f>VLOOKUP($U16,TabellenDB!$B$3:$J$500,4,FALSE)</f>
        <v>A</v>
      </c>
      <c r="E17" s="167">
        <f t="shared" si="1"/>
        <v>16</v>
      </c>
      <c r="F17" s="169">
        <f>VLOOKUP($U16,TabellenDB!$B$3:$J$500,5,FALSE)</f>
        <v>2</v>
      </c>
      <c r="G17" s="169">
        <f>VLOOKUP($U16,TabellenDB!$B$3:$J$500,6,FALSE)</f>
        <v>4</v>
      </c>
      <c r="H17" s="169">
        <f>VLOOKUP($U16,TabellenDB!$B$3:$J$500,7,FALSE)</f>
        <v>10</v>
      </c>
      <c r="I17" s="169"/>
      <c r="J17" s="169">
        <f>VLOOKUP($U16,TabellenDB!$B$3:$J$500,8,FALSE)</f>
        <v>41</v>
      </c>
      <c r="K17" s="169" t="s">
        <v>43</v>
      </c>
      <c r="L17" s="169">
        <f>VLOOKUP($U16,TabellenDB!$B$3:$J$500,9,FALSE)</f>
        <v>78</v>
      </c>
      <c r="M17" s="169">
        <f t="shared" si="2"/>
        <v>-37</v>
      </c>
      <c r="N17" s="167">
        <f t="shared" si="3"/>
        <v>10</v>
      </c>
      <c r="U17" s="152">
        <f t="shared" si="4"/>
        <v>83</v>
      </c>
    </row>
    <row r="18" spans="2:21" ht="16.5">
      <c r="B18" s="167">
        <v>11</v>
      </c>
      <c r="C18" s="168" t="str">
        <f>VLOOKUP($U17,TabellenDB!$B$3:$J$500,3,FALSE)</f>
        <v>Göttinger PC</v>
      </c>
      <c r="D18" s="169" t="str">
        <f>VLOOKUP($U17,TabellenDB!$B$3:$J$500,4,FALSE)</f>
        <v>A</v>
      </c>
      <c r="E18" s="167">
        <f t="shared" si="1"/>
        <v>16</v>
      </c>
      <c r="F18" s="169">
        <f>VLOOKUP($U17,TabellenDB!$B$3:$J$500,5,FALSE)</f>
        <v>1</v>
      </c>
      <c r="G18" s="169">
        <f>VLOOKUP($U17,TabellenDB!$B$3:$J$500,6,FALSE)</f>
        <v>2</v>
      </c>
      <c r="H18" s="169">
        <f>VLOOKUP($U17,TabellenDB!$B$3:$J$500,7,FALSE)</f>
        <v>13</v>
      </c>
      <c r="I18" s="169"/>
      <c r="J18" s="169">
        <f>VLOOKUP($U17,TabellenDB!$B$3:$J$500,8,FALSE)</f>
        <v>38</v>
      </c>
      <c r="K18" s="169" t="s">
        <v>43</v>
      </c>
      <c r="L18" s="169">
        <f>VLOOKUP($U17,TabellenDB!$B$3:$J$500,9,FALSE)</f>
        <v>81</v>
      </c>
      <c r="M18" s="169">
        <f t="shared" si="2"/>
        <v>-43</v>
      </c>
      <c r="N18" s="167">
        <f t="shared" si="3"/>
        <v>5</v>
      </c>
      <c r="U18" s="152">
        <f t="shared" si="4"/>
        <v>84</v>
      </c>
    </row>
    <row r="19" spans="2:14" ht="16.5">
      <c r="B19" s="167">
        <v>12</v>
      </c>
      <c r="C19" s="168" t="str">
        <f>VLOOKUP($U18,TabellenDB!$B$3:$J$500,3,FALSE)</f>
        <v>KSV Glauchau</v>
      </c>
      <c r="D19" s="169" t="str">
        <f>VLOOKUP($U18,TabellenDB!$B$3:$J$500,4,FALSE)</f>
        <v>B</v>
      </c>
      <c r="E19" s="167">
        <f t="shared" si="1"/>
        <v>16</v>
      </c>
      <c r="F19" s="169">
        <f>VLOOKUP($U18,TabellenDB!$B$3:$J$500,5,FALSE)</f>
        <v>0</v>
      </c>
      <c r="G19" s="169">
        <f>VLOOKUP($U18,TabellenDB!$B$3:$J$500,6,FALSE)</f>
        <v>1</v>
      </c>
      <c r="H19" s="169">
        <f>VLOOKUP($U18,TabellenDB!$B$3:$J$500,7,FALSE)</f>
        <v>15</v>
      </c>
      <c r="I19" s="169"/>
      <c r="J19" s="169">
        <f>VLOOKUP($U18,TabellenDB!$B$3:$J$500,8,FALSE)</f>
        <v>30</v>
      </c>
      <c r="K19" s="169" t="s">
        <v>43</v>
      </c>
      <c r="L19" s="169">
        <f>VLOOKUP($U18,TabellenDB!$B$3:$J$500,9,FALSE)</f>
        <v>89</v>
      </c>
      <c r="M19" s="169">
        <f t="shared" si="2"/>
        <v>-59</v>
      </c>
      <c r="N19" s="167">
        <f t="shared" si="3"/>
        <v>1</v>
      </c>
    </row>
  </sheetData>
  <sheetProtection sheet="1" objects="1" scenarios="1" selectLockedCells="1"/>
  <mergeCells count="11">
    <mergeCell ref="J6:M6"/>
    <mergeCell ref="B5:N5"/>
    <mergeCell ref="N6:N7"/>
    <mergeCell ref="H6:H7"/>
    <mergeCell ref="G6:G7"/>
    <mergeCell ref="F6:F7"/>
    <mergeCell ref="B3:N3"/>
    <mergeCell ref="E6:E7"/>
    <mergeCell ref="D6:D7"/>
    <mergeCell ref="C6:C7"/>
    <mergeCell ref="B6:B7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U40"/>
  <sheetViews>
    <sheetView showGridLines="0" showRowColHeaders="0" zoomScalePageLayoutView="0" workbookViewId="0" topLeftCell="A1">
      <selection activeCell="N15" sqref="N15"/>
    </sheetView>
  </sheetViews>
  <sheetFormatPr defaultColWidth="11.421875" defaultRowHeight="15"/>
  <cols>
    <col min="1" max="1" width="11.421875" style="152" customWidth="1"/>
    <col min="2" max="2" width="7.28125" style="152" bestFit="1" customWidth="1"/>
    <col min="3" max="3" width="22.421875" style="152" customWidth="1"/>
    <col min="4" max="4" width="12.57421875" style="152" customWidth="1"/>
    <col min="5" max="5" width="9.421875" style="152" customWidth="1"/>
    <col min="6" max="8" width="6.00390625" style="152" customWidth="1"/>
    <col min="9" max="9" width="2.140625" style="152" customWidth="1"/>
    <col min="10" max="10" width="4.7109375" style="152" customWidth="1"/>
    <col min="11" max="11" width="2.00390625" style="152" bestFit="1" customWidth="1"/>
    <col min="12" max="12" width="4.7109375" style="152" customWidth="1"/>
    <col min="13" max="13" width="12.140625" style="152" customWidth="1"/>
    <col min="14" max="14" width="12.57421875" style="152" customWidth="1"/>
    <col min="15" max="15" width="11.421875" style="152" customWidth="1"/>
    <col min="16" max="16" width="16.57421875" style="152" hidden="1" customWidth="1"/>
    <col min="17" max="17" width="2.8515625" style="152" hidden="1" customWidth="1"/>
    <col min="18" max="18" width="16.57421875" style="152" hidden="1" customWidth="1"/>
    <col min="19" max="21" width="11.421875" style="152" hidden="1" customWidth="1"/>
    <col min="22" max="26" width="0" style="152" hidden="1" customWidth="1"/>
    <col min="27" max="16384" width="11.421875" style="152" customWidth="1"/>
  </cols>
  <sheetData>
    <row r="1" ht="16.5"/>
    <row r="2" spans="2:14" ht="34.5">
      <c r="B2" s="343" t="str">
        <f>"Kanupolo Bundesliga "&amp;Saisondaten!$B$3&amp;""</f>
        <v>Kanupolo Bundesliga 2018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ht="16.5"/>
    <row r="4" spans="2:14" ht="26.25">
      <c r="B4" s="334" t="s">
        <v>259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2:14" ht="12.7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3:13" ht="30.75">
      <c r="C6" s="216" t="s">
        <v>11</v>
      </c>
      <c r="D6" s="344" t="str">
        <f>'Playoff-Playdowns'!AE38</f>
        <v>Gew. Finale /2</v>
      </c>
      <c r="E6" s="344"/>
      <c r="F6" s="344"/>
      <c r="G6" s="344"/>
      <c r="H6" s="341" t="s">
        <v>258</v>
      </c>
      <c r="I6" s="341"/>
      <c r="J6" s="341"/>
      <c r="K6" s="341"/>
      <c r="L6" s="341"/>
      <c r="M6" s="341"/>
    </row>
    <row r="7" spans="3:13" ht="3.75" customHeight="1">
      <c r="C7" s="224"/>
      <c r="D7" s="226"/>
      <c r="E7" s="226"/>
      <c r="F7" s="226"/>
      <c r="G7" s="226"/>
      <c r="H7" s="225"/>
      <c r="I7" s="225"/>
      <c r="J7" s="225"/>
      <c r="K7" s="225"/>
      <c r="L7" s="225"/>
      <c r="M7" s="225"/>
    </row>
    <row r="8" spans="3:13" ht="26.25">
      <c r="C8" s="219" t="s">
        <v>12</v>
      </c>
      <c r="D8" s="345" t="str">
        <f>'Playoff-Playdowns'!AE39</f>
        <v>Verl. Finale /2</v>
      </c>
      <c r="E8" s="345"/>
      <c r="F8" s="345"/>
      <c r="G8" s="345"/>
      <c r="H8" s="337"/>
      <c r="I8" s="337"/>
      <c r="J8" s="337"/>
      <c r="K8" s="337"/>
      <c r="L8" s="337"/>
      <c r="M8" s="220"/>
    </row>
    <row r="9" spans="3:7" s="218" customFormat="1" ht="3.75" customHeight="1">
      <c r="C9" s="217"/>
      <c r="D9" s="227"/>
      <c r="E9" s="227"/>
      <c r="F9" s="227"/>
      <c r="G9" s="227"/>
    </row>
    <row r="10" spans="3:13" ht="24">
      <c r="C10" s="222" t="s">
        <v>13</v>
      </c>
      <c r="D10" s="346" t="str">
        <f>'Playoff-Playdowns'!AE40</f>
        <v>Gew. 3. Platz /2</v>
      </c>
      <c r="E10" s="346"/>
      <c r="F10" s="346"/>
      <c r="G10" s="346"/>
      <c r="H10" s="338"/>
      <c r="I10" s="338"/>
      <c r="J10" s="338"/>
      <c r="K10" s="338"/>
      <c r="L10" s="338"/>
      <c r="M10" s="223"/>
    </row>
    <row r="11" spans="3:7" s="218" customFormat="1" ht="3.75" customHeight="1">
      <c r="C11" s="221"/>
      <c r="D11" s="228"/>
      <c r="E11" s="228"/>
      <c r="F11" s="228"/>
      <c r="G11" s="228"/>
    </row>
    <row r="12" spans="3:12" ht="16.5">
      <c r="C12" s="152" t="s">
        <v>14</v>
      </c>
      <c r="D12" s="336" t="str">
        <f>'Playoff-Playdowns'!AE41</f>
        <v>Verl. 3. Platz /2</v>
      </c>
      <c r="E12" s="336"/>
      <c r="F12" s="336"/>
      <c r="G12" s="336"/>
      <c r="H12" s="340"/>
      <c r="I12" s="340"/>
      <c r="J12" s="340"/>
      <c r="K12" s="340"/>
      <c r="L12" s="340"/>
    </row>
    <row r="13" spans="3:12" ht="16.5">
      <c r="C13" s="152" t="s">
        <v>15</v>
      </c>
      <c r="D13" s="336" t="str">
        <f>'Playoff-Playdowns'!AE42</f>
        <v>Gew. Spiel 168</v>
      </c>
      <c r="E13" s="336"/>
      <c r="F13" s="336"/>
      <c r="G13" s="336"/>
      <c r="H13" s="340"/>
      <c r="I13" s="340"/>
      <c r="J13" s="340"/>
      <c r="K13" s="340"/>
      <c r="L13" s="340"/>
    </row>
    <row r="14" spans="3:12" ht="16.5">
      <c r="C14" s="152" t="s">
        <v>16</v>
      </c>
      <c r="D14" s="336" t="str">
        <f>'Playoff-Playdowns'!AE43</f>
        <v>Verl. Spiel 168</v>
      </c>
      <c r="E14" s="336"/>
      <c r="F14" s="336"/>
      <c r="G14" s="336"/>
      <c r="H14" s="340"/>
      <c r="I14" s="340"/>
      <c r="J14" s="340"/>
      <c r="K14" s="340"/>
      <c r="L14" s="340"/>
    </row>
    <row r="15" spans="3:12" ht="16.5">
      <c r="C15" s="152" t="s">
        <v>251</v>
      </c>
      <c r="D15" s="336" t="str">
        <f>'Playoff-Playdowns'!AE44</f>
        <v>Gew. Spiel 167</v>
      </c>
      <c r="E15" s="336"/>
      <c r="F15" s="336"/>
      <c r="G15" s="336"/>
      <c r="H15" s="340"/>
      <c r="I15" s="340"/>
      <c r="J15" s="340"/>
      <c r="K15" s="340"/>
      <c r="L15" s="340"/>
    </row>
    <row r="16" spans="3:12" ht="16.5">
      <c r="C16" s="152" t="s">
        <v>252</v>
      </c>
      <c r="D16" s="336" t="str">
        <f>'Playoff-Playdowns'!AE45</f>
        <v>Verl. Spiel 167</v>
      </c>
      <c r="E16" s="336"/>
      <c r="F16" s="336"/>
      <c r="G16" s="336"/>
      <c r="H16" s="340"/>
      <c r="I16" s="340"/>
      <c r="J16" s="340"/>
      <c r="K16" s="340"/>
      <c r="L16" s="340"/>
    </row>
    <row r="17" spans="3:12" ht="16.5">
      <c r="C17" s="152" t="s">
        <v>253</v>
      </c>
      <c r="D17" s="336" t="str">
        <f>'Playoff-Playdowns'!AE46</f>
        <v>Gew. Spiel 162</v>
      </c>
      <c r="E17" s="336"/>
      <c r="F17" s="336"/>
      <c r="G17" s="336"/>
      <c r="H17" s="340"/>
      <c r="I17" s="340"/>
      <c r="J17" s="340"/>
      <c r="K17" s="340"/>
      <c r="L17" s="340"/>
    </row>
    <row r="18" spans="3:12" ht="16.5">
      <c r="C18" s="152" t="s">
        <v>254</v>
      </c>
      <c r="D18" s="336" t="str">
        <f>'Playoff-Playdowns'!AE47</f>
        <v>Verl. Spiel 162</v>
      </c>
      <c r="E18" s="336"/>
      <c r="F18" s="336"/>
      <c r="G18" s="336"/>
      <c r="H18" s="340"/>
      <c r="I18" s="340"/>
      <c r="J18" s="340"/>
      <c r="K18" s="340"/>
      <c r="L18" s="340"/>
    </row>
    <row r="19" spans="3:13" ht="16.5">
      <c r="C19" s="215" t="s">
        <v>255</v>
      </c>
      <c r="D19" s="342" t="str">
        <f>'Playoff-Playdowns'!AE48</f>
        <v>Verl. Spiel 157</v>
      </c>
      <c r="E19" s="342"/>
      <c r="F19" s="342"/>
      <c r="G19" s="342"/>
      <c r="H19" s="339" t="s">
        <v>167</v>
      </c>
      <c r="I19" s="339"/>
      <c r="J19" s="339"/>
      <c r="K19" s="339"/>
      <c r="L19" s="339"/>
      <c r="M19" s="339"/>
    </row>
    <row r="20" spans="3:13" ht="16.5">
      <c r="C20" s="215" t="s">
        <v>256</v>
      </c>
      <c r="D20" s="342" t="str">
        <f>'Playoff-Playdowns'!AE49</f>
        <v>Verl. Spiel 152</v>
      </c>
      <c r="E20" s="342"/>
      <c r="F20" s="342"/>
      <c r="G20" s="342"/>
      <c r="H20" s="339" t="s">
        <v>165</v>
      </c>
      <c r="I20" s="339"/>
      <c r="J20" s="339"/>
      <c r="K20" s="339"/>
      <c r="L20" s="339"/>
      <c r="M20" s="339"/>
    </row>
    <row r="21" spans="2:14" ht="16.5">
      <c r="B21" s="218"/>
      <c r="C21" s="218"/>
      <c r="D21" s="229"/>
      <c r="E21" s="229"/>
      <c r="F21" s="229"/>
      <c r="G21" s="229"/>
      <c r="H21" s="218"/>
      <c r="I21" s="218"/>
      <c r="J21" s="218"/>
      <c r="K21" s="218"/>
      <c r="L21" s="218"/>
      <c r="M21" s="218"/>
      <c r="N21" s="218"/>
    </row>
    <row r="22" spans="2:14" ht="16.5">
      <c r="B22" s="218"/>
      <c r="C22" s="218"/>
      <c r="D22" s="229"/>
      <c r="E22" s="229"/>
      <c r="F22" s="229"/>
      <c r="G22" s="229"/>
      <c r="H22" s="218"/>
      <c r="I22" s="218"/>
      <c r="J22" s="218"/>
      <c r="K22" s="218"/>
      <c r="L22" s="218"/>
      <c r="M22" s="218"/>
      <c r="N22" s="218"/>
    </row>
    <row r="23" spans="2:14" ht="16.5">
      <c r="B23" s="218"/>
      <c r="C23" s="218"/>
      <c r="D23" s="229"/>
      <c r="E23" s="229"/>
      <c r="F23" s="229"/>
      <c r="G23" s="229"/>
      <c r="H23" s="218"/>
      <c r="I23" s="218"/>
      <c r="J23" s="218"/>
      <c r="K23" s="218"/>
      <c r="L23" s="218"/>
      <c r="M23" s="218"/>
      <c r="N23" s="218"/>
    </row>
    <row r="25" ht="7.5" customHeight="1"/>
    <row r="26" spans="2:14" ht="18">
      <c r="B26" s="331" t="s">
        <v>257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</row>
    <row r="27" spans="2:14" ht="18">
      <c r="B27" s="332" t="s">
        <v>44</v>
      </c>
      <c r="C27" s="331" t="s">
        <v>45</v>
      </c>
      <c r="D27" s="331" t="s">
        <v>8</v>
      </c>
      <c r="E27" s="332" t="s">
        <v>46</v>
      </c>
      <c r="F27" s="331" t="s">
        <v>54</v>
      </c>
      <c r="G27" s="331" t="s">
        <v>47</v>
      </c>
      <c r="H27" s="331" t="s">
        <v>53</v>
      </c>
      <c r="I27" s="170"/>
      <c r="J27" s="335" t="s">
        <v>49</v>
      </c>
      <c r="K27" s="335"/>
      <c r="L27" s="335"/>
      <c r="M27" s="335"/>
      <c r="N27" s="332" t="s">
        <v>48</v>
      </c>
    </row>
    <row r="28" spans="2:18" ht="18">
      <c r="B28" s="332"/>
      <c r="C28" s="331"/>
      <c r="D28" s="331"/>
      <c r="E28" s="332"/>
      <c r="F28" s="331"/>
      <c r="G28" s="331"/>
      <c r="H28" s="331"/>
      <c r="I28" s="170"/>
      <c r="J28" s="154" t="s">
        <v>50</v>
      </c>
      <c r="K28" s="154" t="s">
        <v>43</v>
      </c>
      <c r="L28" s="154" t="s">
        <v>23</v>
      </c>
      <c r="M28" s="155" t="s">
        <v>51</v>
      </c>
      <c r="N28" s="333"/>
      <c r="P28" s="87"/>
      <c r="R28" s="87"/>
    </row>
    <row r="29" spans="2:21" ht="16.5">
      <c r="B29" s="156">
        <v>1</v>
      </c>
      <c r="C29" s="157" t="str">
        <f>VLOOKUP($U29,TabellenDB!$B$3:$J$500,3,FALSE)</f>
        <v>KRM Essen</v>
      </c>
      <c r="D29" s="158" t="str">
        <f>VLOOKUP($U29,TabellenDB!$B$3:$J$500,4,FALSE)</f>
        <v>A</v>
      </c>
      <c r="E29" s="156">
        <f>F29+G29+H29</f>
        <v>16</v>
      </c>
      <c r="F29" s="158">
        <f>VLOOKUP($U29,TabellenDB!$B$3:$J$500,5,FALSE)</f>
        <v>13</v>
      </c>
      <c r="G29" s="158">
        <f>VLOOKUP($U29,TabellenDB!$B$3:$J$500,6,FALSE)</f>
        <v>2</v>
      </c>
      <c r="H29" s="158">
        <f>VLOOKUP($U29,TabellenDB!$B$3:$J$500,7,FALSE)</f>
        <v>1</v>
      </c>
      <c r="I29" s="158"/>
      <c r="J29" s="158">
        <f>VLOOKUP($U29,TabellenDB!$B$3:$J$500,8,FALSE)</f>
        <v>86</v>
      </c>
      <c r="K29" s="158" t="s">
        <v>43</v>
      </c>
      <c r="L29" s="158">
        <f>VLOOKUP($U29,TabellenDB!$B$3:$J$500,9,FALSE)</f>
        <v>33</v>
      </c>
      <c r="M29" s="158">
        <f>J29-L29</f>
        <v>53</v>
      </c>
      <c r="N29" s="156">
        <f>F29*3+G29*1</f>
        <v>41</v>
      </c>
      <c r="R29" s="87"/>
      <c r="U29" s="152">
        <v>73</v>
      </c>
    </row>
    <row r="30" spans="2:21" ht="16.5">
      <c r="B30" s="159">
        <v>2</v>
      </c>
      <c r="C30" s="160" t="str">
        <f>VLOOKUP($U30,TabellenDB!$B$3:$J$500,3,FALSE)</f>
        <v>WSF Liblar</v>
      </c>
      <c r="D30" s="161" t="str">
        <f>VLOOKUP($U30,TabellenDB!$B$3:$J$500,4,FALSE)</f>
        <v>A</v>
      </c>
      <c r="E30" s="159">
        <f aca="true" t="shared" si="0" ref="E30:E40">F30+G30+H30</f>
        <v>16</v>
      </c>
      <c r="F30" s="161">
        <f>VLOOKUP($U30,TabellenDB!$B$3:$J$500,5,FALSE)</f>
        <v>13</v>
      </c>
      <c r="G30" s="161">
        <f>VLOOKUP($U30,TabellenDB!$B$3:$J$500,6,FALSE)</f>
        <v>2</v>
      </c>
      <c r="H30" s="161">
        <f>VLOOKUP($U30,TabellenDB!$B$3:$J$500,7,FALSE)</f>
        <v>1</v>
      </c>
      <c r="I30" s="161"/>
      <c r="J30" s="161">
        <f>VLOOKUP($U30,TabellenDB!$B$3:$J$500,8,FALSE)</f>
        <v>65</v>
      </c>
      <c r="K30" s="161" t="s">
        <v>43</v>
      </c>
      <c r="L30" s="161">
        <f>VLOOKUP($U30,TabellenDB!$B$3:$J$500,9,FALSE)</f>
        <v>34</v>
      </c>
      <c r="M30" s="161">
        <f aca="true" t="shared" si="1" ref="M30:M40">J30-L30</f>
        <v>31</v>
      </c>
      <c r="N30" s="159">
        <f aca="true" t="shared" si="2" ref="N30:N40">F30*3+G30*1</f>
        <v>41</v>
      </c>
      <c r="R30" s="87"/>
      <c r="U30" s="152">
        <f>U29+1</f>
        <v>74</v>
      </c>
    </row>
    <row r="31" spans="2:21" ht="16.5">
      <c r="B31" s="159">
        <v>3</v>
      </c>
      <c r="C31" s="160" t="str">
        <f>VLOOKUP($U31,TabellenDB!$B$3:$J$500,3,FALSE)</f>
        <v>RSV Hannover</v>
      </c>
      <c r="D31" s="161" t="str">
        <f>VLOOKUP($U31,TabellenDB!$B$3:$J$500,4,FALSE)</f>
        <v>B</v>
      </c>
      <c r="E31" s="159">
        <f t="shared" si="0"/>
        <v>16</v>
      </c>
      <c r="F31" s="161">
        <f>VLOOKUP($U31,TabellenDB!$B$3:$J$500,5,FALSE)</f>
        <v>11</v>
      </c>
      <c r="G31" s="161">
        <f>VLOOKUP($U31,TabellenDB!$B$3:$J$500,6,FALSE)</f>
        <v>2</v>
      </c>
      <c r="H31" s="161">
        <f>VLOOKUP($U31,TabellenDB!$B$3:$J$500,7,FALSE)</f>
        <v>3</v>
      </c>
      <c r="I31" s="161"/>
      <c r="J31" s="161">
        <f>VLOOKUP($U31,TabellenDB!$B$3:$J$500,8,FALSE)</f>
        <v>57</v>
      </c>
      <c r="K31" s="161" t="s">
        <v>43</v>
      </c>
      <c r="L31" s="161">
        <f>VLOOKUP($U31,TabellenDB!$B$3:$J$500,9,FALSE)</f>
        <v>36</v>
      </c>
      <c r="M31" s="161">
        <f t="shared" si="1"/>
        <v>21</v>
      </c>
      <c r="N31" s="159">
        <f t="shared" si="2"/>
        <v>35</v>
      </c>
      <c r="R31" s="87"/>
      <c r="U31" s="152">
        <f aca="true" t="shared" si="3" ref="U31:U40">U30+1</f>
        <v>75</v>
      </c>
    </row>
    <row r="32" spans="2:21" ht="16.5">
      <c r="B32" s="162">
        <v>4</v>
      </c>
      <c r="C32" s="163" t="str">
        <f>VLOOKUP($U32,TabellenDB!$B$3:$J$500,3,FALSE)</f>
        <v>ACC Hamburg</v>
      </c>
      <c r="D32" s="152" t="str">
        <f>VLOOKUP($U32,TabellenDB!$B$3:$J$500,4,FALSE)</f>
        <v>B</v>
      </c>
      <c r="E32" s="162">
        <f t="shared" si="0"/>
        <v>16</v>
      </c>
      <c r="F32" s="152">
        <f>VLOOKUP($U32,TabellenDB!$B$3:$J$500,5,FALSE)</f>
        <v>10</v>
      </c>
      <c r="G32" s="152">
        <f>VLOOKUP($U32,TabellenDB!$B$3:$J$500,6,FALSE)</f>
        <v>2</v>
      </c>
      <c r="H32" s="152">
        <f>VLOOKUP($U32,TabellenDB!$B$3:$J$500,7,FALSE)</f>
        <v>4</v>
      </c>
      <c r="J32" s="152">
        <f>VLOOKUP($U32,TabellenDB!$B$3:$J$500,8,FALSE)</f>
        <v>65</v>
      </c>
      <c r="K32" s="152" t="s">
        <v>43</v>
      </c>
      <c r="L32" s="152">
        <f>VLOOKUP($U32,TabellenDB!$B$3:$J$500,9,FALSE)</f>
        <v>43</v>
      </c>
      <c r="M32" s="152">
        <f t="shared" si="1"/>
        <v>22</v>
      </c>
      <c r="N32" s="162">
        <f t="shared" si="2"/>
        <v>32</v>
      </c>
      <c r="R32" s="87"/>
      <c r="U32" s="152">
        <f t="shared" si="3"/>
        <v>76</v>
      </c>
    </row>
    <row r="33" spans="2:21" ht="16.5">
      <c r="B33" s="162">
        <v>5</v>
      </c>
      <c r="C33" s="163" t="str">
        <f>VLOOKUP($U33,TabellenDB!$B$3:$J$500,3,FALSE)</f>
        <v>KSVH Berlin</v>
      </c>
      <c r="D33" s="152" t="str">
        <f>VLOOKUP($U33,TabellenDB!$B$3:$J$500,4,FALSE)</f>
        <v>B</v>
      </c>
      <c r="E33" s="162">
        <f t="shared" si="0"/>
        <v>16</v>
      </c>
      <c r="F33" s="152">
        <f>VLOOKUP($U33,TabellenDB!$B$3:$J$500,5,FALSE)</f>
        <v>9</v>
      </c>
      <c r="G33" s="152">
        <f>VLOOKUP($U33,TabellenDB!$B$3:$J$500,6,FALSE)</f>
        <v>3</v>
      </c>
      <c r="H33" s="152">
        <f>VLOOKUP($U33,TabellenDB!$B$3:$J$500,7,FALSE)</f>
        <v>4</v>
      </c>
      <c r="J33" s="152">
        <f>VLOOKUP($U33,TabellenDB!$B$3:$J$500,8,FALSE)</f>
        <v>65</v>
      </c>
      <c r="K33" s="152" t="s">
        <v>43</v>
      </c>
      <c r="L33" s="152">
        <f>VLOOKUP($U33,TabellenDB!$B$3:$J$500,9,FALSE)</f>
        <v>44</v>
      </c>
      <c r="M33" s="152">
        <f t="shared" si="1"/>
        <v>21</v>
      </c>
      <c r="N33" s="162">
        <f t="shared" si="2"/>
        <v>30</v>
      </c>
      <c r="R33" s="87"/>
      <c r="U33" s="152">
        <f t="shared" si="3"/>
        <v>77</v>
      </c>
    </row>
    <row r="34" spans="2:21" ht="16.5">
      <c r="B34" s="162">
        <v>6</v>
      </c>
      <c r="C34" s="163" t="str">
        <f>VLOOKUP($U34,TabellenDB!$B$3:$J$500,3,FALSE)</f>
        <v>1. MKC Duisburg</v>
      </c>
      <c r="D34" s="152" t="str">
        <f>VLOOKUP($U34,TabellenDB!$B$3:$J$500,4,FALSE)</f>
        <v>A</v>
      </c>
      <c r="E34" s="162">
        <f t="shared" si="0"/>
        <v>16</v>
      </c>
      <c r="F34" s="152">
        <f>VLOOKUP($U34,TabellenDB!$B$3:$J$500,5,FALSE)</f>
        <v>7</v>
      </c>
      <c r="G34" s="152">
        <f>VLOOKUP($U34,TabellenDB!$B$3:$J$500,6,FALSE)</f>
        <v>4</v>
      </c>
      <c r="H34" s="152">
        <f>VLOOKUP($U34,TabellenDB!$B$3:$J$500,7,FALSE)</f>
        <v>5</v>
      </c>
      <c r="J34" s="152">
        <f>VLOOKUP($U34,TabellenDB!$B$3:$J$500,8,FALSE)</f>
        <v>56</v>
      </c>
      <c r="K34" s="152" t="s">
        <v>43</v>
      </c>
      <c r="L34" s="152">
        <f>VLOOKUP($U34,TabellenDB!$B$3:$J$500,9,FALSE)</f>
        <v>41</v>
      </c>
      <c r="M34" s="152">
        <f t="shared" si="1"/>
        <v>15</v>
      </c>
      <c r="N34" s="162">
        <f t="shared" si="2"/>
        <v>25</v>
      </c>
      <c r="R34" s="87"/>
      <c r="U34" s="152">
        <f t="shared" si="3"/>
        <v>78</v>
      </c>
    </row>
    <row r="35" spans="2:21" ht="16.5">
      <c r="B35" s="162">
        <v>7</v>
      </c>
      <c r="C35" s="163" t="str">
        <f>VLOOKUP($U35,TabellenDB!$B$3:$J$500,3,FALSE)</f>
        <v>KCNW Berlin</v>
      </c>
      <c r="D35" s="152" t="str">
        <f>VLOOKUP($U35,TabellenDB!$B$3:$J$500,4,FALSE)</f>
        <v>B</v>
      </c>
      <c r="E35" s="162">
        <f t="shared" si="0"/>
        <v>16</v>
      </c>
      <c r="F35" s="152">
        <f>VLOOKUP($U35,TabellenDB!$B$3:$J$500,5,FALSE)</f>
        <v>8</v>
      </c>
      <c r="G35" s="152">
        <f>VLOOKUP($U35,TabellenDB!$B$3:$J$500,6,FALSE)</f>
        <v>1</v>
      </c>
      <c r="H35" s="152">
        <f>VLOOKUP($U35,TabellenDB!$B$3:$J$500,7,FALSE)</f>
        <v>7</v>
      </c>
      <c r="J35" s="152">
        <f>VLOOKUP($U35,TabellenDB!$B$3:$J$500,8,FALSE)</f>
        <v>53</v>
      </c>
      <c r="K35" s="152" t="s">
        <v>43</v>
      </c>
      <c r="L35" s="152">
        <f>VLOOKUP($U35,TabellenDB!$B$3:$J$500,9,FALSE)</f>
        <v>44</v>
      </c>
      <c r="M35" s="152">
        <f t="shared" si="1"/>
        <v>9</v>
      </c>
      <c r="N35" s="162">
        <f t="shared" si="2"/>
        <v>25</v>
      </c>
      <c r="U35" s="152">
        <f t="shared" si="3"/>
        <v>79</v>
      </c>
    </row>
    <row r="36" spans="2:21" ht="16.5">
      <c r="B36" s="162">
        <v>8</v>
      </c>
      <c r="C36" s="163" t="str">
        <f>VLOOKUP($U36,TabellenDB!$B$3:$J$500,3,FALSE)</f>
        <v>KGW Essen</v>
      </c>
      <c r="D36" s="152" t="str">
        <f>VLOOKUP($U36,TabellenDB!$B$3:$J$500,4,FALSE)</f>
        <v>A</v>
      </c>
      <c r="E36" s="162">
        <f t="shared" si="0"/>
        <v>16</v>
      </c>
      <c r="F36" s="152">
        <f>VLOOKUP($U36,TabellenDB!$B$3:$J$500,5,FALSE)</f>
        <v>3</v>
      </c>
      <c r="G36" s="152">
        <f>VLOOKUP($U36,TabellenDB!$B$3:$J$500,6,FALSE)</f>
        <v>6</v>
      </c>
      <c r="H36" s="152">
        <f>VLOOKUP($U36,TabellenDB!$B$3:$J$500,7,FALSE)</f>
        <v>7</v>
      </c>
      <c r="J36" s="152">
        <f>VLOOKUP($U36,TabellenDB!$B$3:$J$500,8,FALSE)</f>
        <v>37</v>
      </c>
      <c r="K36" s="152" t="s">
        <v>43</v>
      </c>
      <c r="L36" s="152">
        <f>VLOOKUP($U36,TabellenDB!$B$3:$J$500,9,FALSE)</f>
        <v>50</v>
      </c>
      <c r="M36" s="152">
        <f t="shared" si="1"/>
        <v>-13</v>
      </c>
      <c r="N36" s="162">
        <f t="shared" si="2"/>
        <v>15</v>
      </c>
      <c r="U36" s="152">
        <f t="shared" si="3"/>
        <v>80</v>
      </c>
    </row>
    <row r="37" spans="2:21" ht="16.5">
      <c r="B37" s="164">
        <v>9</v>
      </c>
      <c r="C37" s="165" t="str">
        <f>VLOOKUP($U37,TabellenDB!$B$3:$J$500,3,FALSE)</f>
        <v>VK Berlin</v>
      </c>
      <c r="D37" s="166" t="str">
        <f>VLOOKUP($U37,TabellenDB!$B$3:$J$500,4,FALSE)</f>
        <v>B</v>
      </c>
      <c r="E37" s="164">
        <f t="shared" si="0"/>
        <v>16</v>
      </c>
      <c r="F37" s="166">
        <f>VLOOKUP($U37,TabellenDB!$B$3:$J$500,5,FALSE)</f>
        <v>3</v>
      </c>
      <c r="G37" s="166">
        <f>VLOOKUP($U37,TabellenDB!$B$3:$J$500,6,FALSE)</f>
        <v>3</v>
      </c>
      <c r="H37" s="166">
        <f>VLOOKUP($U37,TabellenDB!$B$3:$J$500,7,FALSE)</f>
        <v>10</v>
      </c>
      <c r="I37" s="166"/>
      <c r="J37" s="166">
        <f>VLOOKUP($U37,TabellenDB!$B$3:$J$500,8,FALSE)</f>
        <v>45</v>
      </c>
      <c r="K37" s="166" t="s">
        <v>43</v>
      </c>
      <c r="L37" s="166">
        <f>VLOOKUP($U37,TabellenDB!$B$3:$J$500,9,FALSE)</f>
        <v>65</v>
      </c>
      <c r="M37" s="166">
        <f t="shared" si="1"/>
        <v>-20</v>
      </c>
      <c r="N37" s="164">
        <f t="shared" si="2"/>
        <v>12</v>
      </c>
      <c r="U37" s="152">
        <f t="shared" si="3"/>
        <v>81</v>
      </c>
    </row>
    <row r="38" spans="2:21" ht="16.5">
      <c r="B38" s="167">
        <v>10</v>
      </c>
      <c r="C38" s="168" t="str">
        <f>VLOOKUP($U38,TabellenDB!$B$3:$J$500,3,FALSE)</f>
        <v>KC Wetter</v>
      </c>
      <c r="D38" s="169" t="str">
        <f>VLOOKUP($U38,TabellenDB!$B$3:$J$500,4,FALSE)</f>
        <v>A</v>
      </c>
      <c r="E38" s="167">
        <f t="shared" si="0"/>
        <v>16</v>
      </c>
      <c r="F38" s="169">
        <f>VLOOKUP($U38,TabellenDB!$B$3:$J$500,5,FALSE)</f>
        <v>2</v>
      </c>
      <c r="G38" s="169">
        <f>VLOOKUP($U38,TabellenDB!$B$3:$J$500,6,FALSE)</f>
        <v>4</v>
      </c>
      <c r="H38" s="169">
        <f>VLOOKUP($U38,TabellenDB!$B$3:$J$500,7,FALSE)</f>
        <v>10</v>
      </c>
      <c r="I38" s="169"/>
      <c r="J38" s="169">
        <f>VLOOKUP($U38,TabellenDB!$B$3:$J$500,8,FALSE)</f>
        <v>41</v>
      </c>
      <c r="K38" s="169" t="s">
        <v>43</v>
      </c>
      <c r="L38" s="169">
        <f>VLOOKUP($U38,TabellenDB!$B$3:$J$500,9,FALSE)</f>
        <v>78</v>
      </c>
      <c r="M38" s="169">
        <f t="shared" si="1"/>
        <v>-37</v>
      </c>
      <c r="N38" s="167">
        <f t="shared" si="2"/>
        <v>10</v>
      </c>
      <c r="U38" s="152">
        <f t="shared" si="3"/>
        <v>82</v>
      </c>
    </row>
    <row r="39" spans="2:21" ht="16.5">
      <c r="B39" s="167">
        <v>11</v>
      </c>
      <c r="C39" s="168" t="str">
        <f>VLOOKUP($U39,TabellenDB!$B$3:$J$500,3,FALSE)</f>
        <v>Göttinger PC</v>
      </c>
      <c r="D39" s="169" t="str">
        <f>VLOOKUP($U39,TabellenDB!$B$3:$J$500,4,FALSE)</f>
        <v>A</v>
      </c>
      <c r="E39" s="167">
        <f t="shared" si="0"/>
        <v>16</v>
      </c>
      <c r="F39" s="169">
        <f>VLOOKUP($U39,TabellenDB!$B$3:$J$500,5,FALSE)</f>
        <v>1</v>
      </c>
      <c r="G39" s="169">
        <f>VLOOKUP($U39,TabellenDB!$B$3:$J$500,6,FALSE)</f>
        <v>2</v>
      </c>
      <c r="H39" s="169">
        <f>VLOOKUP($U39,TabellenDB!$B$3:$J$500,7,FALSE)</f>
        <v>13</v>
      </c>
      <c r="I39" s="169"/>
      <c r="J39" s="169">
        <f>VLOOKUP($U39,TabellenDB!$B$3:$J$500,8,FALSE)</f>
        <v>38</v>
      </c>
      <c r="K39" s="169" t="s">
        <v>43</v>
      </c>
      <c r="L39" s="169">
        <f>VLOOKUP($U39,TabellenDB!$B$3:$J$500,9,FALSE)</f>
        <v>81</v>
      </c>
      <c r="M39" s="169">
        <f t="shared" si="1"/>
        <v>-43</v>
      </c>
      <c r="N39" s="167">
        <f t="shared" si="2"/>
        <v>5</v>
      </c>
      <c r="U39" s="152">
        <f t="shared" si="3"/>
        <v>83</v>
      </c>
    </row>
    <row r="40" spans="2:21" ht="16.5">
      <c r="B40" s="167">
        <v>12</v>
      </c>
      <c r="C40" s="168" t="str">
        <f>VLOOKUP($U40,TabellenDB!$B$3:$J$500,3,FALSE)</f>
        <v>KSV Glauchau</v>
      </c>
      <c r="D40" s="169" t="str">
        <f>VLOOKUP($U40,TabellenDB!$B$3:$J$500,4,FALSE)</f>
        <v>B</v>
      </c>
      <c r="E40" s="167">
        <f t="shared" si="0"/>
        <v>16</v>
      </c>
      <c r="F40" s="169">
        <f>VLOOKUP($U40,TabellenDB!$B$3:$J$500,5,FALSE)</f>
        <v>0</v>
      </c>
      <c r="G40" s="169">
        <f>VLOOKUP($U40,TabellenDB!$B$3:$J$500,6,FALSE)</f>
        <v>1</v>
      </c>
      <c r="H40" s="169">
        <f>VLOOKUP($U40,TabellenDB!$B$3:$J$500,7,FALSE)</f>
        <v>15</v>
      </c>
      <c r="I40" s="169"/>
      <c r="J40" s="169">
        <f>VLOOKUP($U40,TabellenDB!$B$3:$J$500,8,FALSE)</f>
        <v>30</v>
      </c>
      <c r="K40" s="169" t="s">
        <v>43</v>
      </c>
      <c r="L40" s="169">
        <f>VLOOKUP($U40,TabellenDB!$B$3:$J$500,9,FALSE)</f>
        <v>89</v>
      </c>
      <c r="M40" s="169">
        <f t="shared" si="1"/>
        <v>-59</v>
      </c>
      <c r="N40" s="167">
        <f t="shared" si="2"/>
        <v>1</v>
      </c>
      <c r="U40" s="152">
        <f t="shared" si="3"/>
        <v>84</v>
      </c>
    </row>
  </sheetData>
  <sheetProtection sheet="1" selectLockedCells="1"/>
  <mergeCells count="36">
    <mergeCell ref="B26:N26"/>
    <mergeCell ref="B27:B28"/>
    <mergeCell ref="C27:C28"/>
    <mergeCell ref="D27:D28"/>
    <mergeCell ref="E27:E28"/>
    <mergeCell ref="F27:F28"/>
    <mergeCell ref="G27:G28"/>
    <mergeCell ref="H27:H28"/>
    <mergeCell ref="J27:M27"/>
    <mergeCell ref="N27:N28"/>
    <mergeCell ref="B2:N2"/>
    <mergeCell ref="D6:G6"/>
    <mergeCell ref="D8:G8"/>
    <mergeCell ref="D10:G10"/>
    <mergeCell ref="D12:G12"/>
    <mergeCell ref="D13:G13"/>
    <mergeCell ref="B4:N4"/>
    <mergeCell ref="H19:M19"/>
    <mergeCell ref="H20:M20"/>
    <mergeCell ref="H16:L16"/>
    <mergeCell ref="H17:L17"/>
    <mergeCell ref="H18:L18"/>
    <mergeCell ref="H6:M6"/>
    <mergeCell ref="D18:G18"/>
    <mergeCell ref="D19:G19"/>
    <mergeCell ref="D20:G20"/>
    <mergeCell ref="D14:G14"/>
    <mergeCell ref="D15:G15"/>
    <mergeCell ref="D16:G16"/>
    <mergeCell ref="D17:G17"/>
    <mergeCell ref="H8:L8"/>
    <mergeCell ref="H10:L10"/>
    <mergeCell ref="H12:L12"/>
    <mergeCell ref="H13:L13"/>
    <mergeCell ref="H14:L14"/>
    <mergeCell ref="H15:L15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portrait" paperSize="9" scale="83" r:id="rId3"/>
  <headerFooter>
    <oddFooter>&amp;Lbundesliga.kanupolo.de&amp;C&amp;G&amp;RStand: &amp;D, &amp;T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I7" sqref="I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8.1406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7" width="3.28125" style="1" hidden="1" customWidth="1"/>
    <col min="38" max="38" width="2.28125" style="1" hidden="1" customWidth="1"/>
    <col min="39" max="39" width="11.28125" style="1" hidden="1" customWidth="1"/>
    <col min="40" max="40" width="3.28125" style="1" hidden="1" customWidth="1"/>
    <col min="41" max="41" width="2.140625" style="1" hidden="1" customWidth="1"/>
    <col min="42" max="42" width="11.28125" style="1" hidden="1" customWidth="1"/>
    <col min="43" max="43" width="3.28125" style="1" hidden="1" customWidth="1"/>
    <col min="44" max="44" width="2.140625" style="1" hidden="1" customWidth="1"/>
    <col min="45" max="45" width="11.28125" style="1" hidden="1" customWidth="1"/>
    <col min="46" max="46" width="3.28125" style="1" hidden="1" customWidth="1"/>
    <col min="47" max="47" width="2.140625" style="1" hidden="1" customWidth="1"/>
    <col min="48" max="48" width="11.28125" style="1" hidden="1" customWidth="1"/>
    <col min="49" max="49" width="3.28125" style="1" hidden="1" customWidth="1"/>
    <col min="50" max="50" width="2.140625" style="1" hidden="1" customWidth="1"/>
    <col min="51" max="51" width="11.28125" style="1" hidden="1" customWidth="1"/>
    <col min="52" max="52" width="3.28125" style="1" hidden="1" customWidth="1"/>
    <col min="53" max="53" width="2.140625" style="1" hidden="1" customWidth="1"/>
    <col min="54" max="54" width="11.28125" style="1" hidden="1" customWidth="1"/>
    <col min="55" max="55" width="3.28125" style="1" hidden="1" customWidth="1"/>
    <col min="56" max="56" width="2.140625" style="1" hidden="1" customWidth="1"/>
    <col min="57" max="57" width="11.28125" style="1" hidden="1" customWidth="1"/>
    <col min="58" max="58" width="3.28125" style="1" hidden="1" customWidth="1"/>
    <col min="59" max="59" width="2.140625" style="1" hidden="1" customWidth="1"/>
    <col min="60" max="60" width="11.28125" style="1" hidden="1" customWidth="1"/>
    <col min="61" max="61" width="3.28125" style="1" hidden="1" customWidth="1"/>
    <col min="62" max="62" width="2.140625" style="1" hidden="1" customWidth="1"/>
    <col min="63" max="63" width="11.28125" style="1" hidden="1" customWidth="1"/>
    <col min="64" max="64" width="3.28125" style="1" hidden="1" customWidth="1"/>
    <col min="65" max="65" width="2.140625" style="1" hidden="1" customWidth="1"/>
    <col min="66" max="66" width="11.28125" style="1" hidden="1" customWidth="1"/>
    <col min="67" max="67" width="3.28125" style="1" hidden="1" customWidth="1"/>
    <col min="68" max="68" width="2.140625" style="1" hidden="1" customWidth="1"/>
    <col min="69" max="69" width="11.28125" style="1" hidden="1" customWidth="1"/>
    <col min="70" max="70" width="3.28125" style="1" hidden="1" customWidth="1"/>
    <col min="71" max="71" width="2.140625" style="1" hidden="1" customWidth="1"/>
    <col min="72" max="72" width="11.28125" style="1" hidden="1" customWidth="1"/>
    <col min="73" max="73" width="3.28125" style="1" hidden="1" customWidth="1"/>
    <col min="74" max="74" width="2.140625" style="1" bestFit="1" customWidth="1"/>
    <col min="75" max="16384" width="11.421875" style="1" customWidth="1"/>
  </cols>
  <sheetData>
    <row r="1" spans="1:14" ht="38.25" customHeight="1">
      <c r="A1" s="351" t="str">
        <f>"Kanupolo Bundesliga "&amp;Saisondaten!$B$3&amp;""</f>
        <v>Kanupolo Bundesliga 2018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52" t="str">
        <f>"1. Spieltag, Gruppe A"&amp;" in "&amp;Saisondaten!$D$8</f>
        <v>1. Spieltag, Gruppe A in Liblar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7" t="str">
        <f>TEXT(Saisondaten!$B$8,"[$-F800]TTTT, MMMM TT, JJJJ")</f>
        <v>Samstag, 5. Mai 2018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36" ht="16.5">
      <c r="A6" s="10" t="s">
        <v>38</v>
      </c>
      <c r="B6" s="10"/>
      <c r="C6" s="10" t="s">
        <v>39</v>
      </c>
      <c r="D6" s="10" t="s">
        <v>40</v>
      </c>
      <c r="E6" s="10" t="s">
        <v>8</v>
      </c>
      <c r="F6" s="348" t="s">
        <v>7</v>
      </c>
      <c r="G6" s="348"/>
      <c r="H6" s="348"/>
      <c r="I6" s="348" t="s">
        <v>41</v>
      </c>
      <c r="J6" s="348"/>
      <c r="K6" s="348"/>
      <c r="L6" s="348" t="s">
        <v>26</v>
      </c>
      <c r="M6" s="348"/>
      <c r="N6" s="348"/>
      <c r="P6" s="1" t="s">
        <v>68</v>
      </c>
      <c r="Q6" s="1" t="s">
        <v>66</v>
      </c>
      <c r="R6" s="1" t="s">
        <v>54</v>
      </c>
      <c r="S6" s="1" t="s">
        <v>47</v>
      </c>
      <c r="T6" s="1" t="s">
        <v>53</v>
      </c>
      <c r="U6" s="1" t="s">
        <v>50</v>
      </c>
      <c r="V6" s="1" t="s">
        <v>23</v>
      </c>
      <c r="W6" s="1" t="s">
        <v>67</v>
      </c>
      <c r="X6" s="1" t="s">
        <v>54</v>
      </c>
      <c r="Y6" s="1" t="s">
        <v>47</v>
      </c>
      <c r="Z6" s="1" t="s">
        <v>53</v>
      </c>
      <c r="AA6" s="1" t="s">
        <v>50</v>
      </c>
      <c r="AB6" s="1" t="s">
        <v>23</v>
      </c>
      <c r="AE6" s="63" t="s">
        <v>45</v>
      </c>
      <c r="AF6" s="1" t="s">
        <v>54</v>
      </c>
      <c r="AG6" s="1" t="s">
        <v>47</v>
      </c>
      <c r="AH6" s="1" t="s">
        <v>53</v>
      </c>
      <c r="AI6" s="1" t="s">
        <v>50</v>
      </c>
      <c r="AJ6" s="1" t="s">
        <v>23</v>
      </c>
    </row>
    <row r="7" spans="1:36" ht="16.5">
      <c r="A7" s="11">
        <v>1</v>
      </c>
      <c r="B7" s="11" t="s">
        <v>27</v>
      </c>
      <c r="C7" s="11">
        <v>1</v>
      </c>
      <c r="D7" s="12">
        <v>0.4166666666666667</v>
      </c>
      <c r="E7" s="11" t="s">
        <v>9</v>
      </c>
      <c r="F7" s="11" t="str">
        <f>Saisondaten!$B$18</f>
        <v>KRM Essen</v>
      </c>
      <c r="G7" s="11" t="s">
        <v>43</v>
      </c>
      <c r="H7" s="11" t="str">
        <f>Saisondaten!$B$22</f>
        <v>KGW Essen</v>
      </c>
      <c r="I7" s="19">
        <v>3</v>
      </c>
      <c r="J7" s="11" t="s">
        <v>43</v>
      </c>
      <c r="K7" s="19">
        <v>2</v>
      </c>
      <c r="L7" s="178" t="str">
        <f>IF(VLOOKUP(A7,Schiedsrichter!$A$3:$I$176,8,FALSE)=0,"-",VLOOKUP(A7,Schiedsrichter!$A$3:$I$176,8,FALSE))</f>
        <v>WSF Liblar</v>
      </c>
      <c r="M7" s="172" t="s">
        <v>249</v>
      </c>
      <c r="N7" s="184" t="str">
        <f>IF(VLOOKUP(A7,Schiedsrichter!$A$3:$I$176,9,FALSE)=0,"-",VLOOKUP(A7,Schiedsrichter!$A$3:$I$176,9,FALSE))</f>
        <v>KC Wetter</v>
      </c>
      <c r="P7" s="1">
        <f>IF(OR(I7="",K7=""),"na",1)</f>
        <v>1</v>
      </c>
      <c r="Q7" s="1" t="str">
        <f>F7</f>
        <v>KRM Essen</v>
      </c>
      <c r="R7" s="1">
        <f>IF($P7=1,IF($I7&gt;$K7,1,0),"")</f>
        <v>1</v>
      </c>
      <c r="S7" s="1">
        <f>IF($P7=1,IF($I7=$K7,1,0),"")</f>
        <v>0</v>
      </c>
      <c r="T7" s="1">
        <f>IF($P7=1,IF($I7&lt;$K7,1,0),"")</f>
        <v>0</v>
      </c>
      <c r="U7" s="1">
        <f>IF($P7=1,$I7,"")</f>
        <v>3</v>
      </c>
      <c r="V7" s="1">
        <f>IF($P7=1,$K7,"")</f>
        <v>2</v>
      </c>
      <c r="W7" s="1" t="str">
        <f>H7</f>
        <v>KGW Essen</v>
      </c>
      <c r="X7" s="1">
        <f>IF($P7=1,IF($I7&lt;$K7,1,0),"")</f>
        <v>0</v>
      </c>
      <c r="Y7" s="1">
        <f>IF($P7=1,IF($I7=$K7,1,0),"")</f>
        <v>0</v>
      </c>
      <c r="Z7" s="1">
        <f>IF($P7=1,IF($I7&gt;$K7,1,0),"")</f>
        <v>1</v>
      </c>
      <c r="AA7" s="1">
        <f>IF($P7=1,$K7,"")</f>
        <v>2</v>
      </c>
      <c r="AB7" s="1">
        <f>IF($P7=1,$I7,"")</f>
        <v>3</v>
      </c>
      <c r="AE7" s="1" t="str">
        <f>Saisondaten!B18</f>
        <v>KRM Essen</v>
      </c>
      <c r="AF7" s="1">
        <f aca="true" t="shared" si="0" ref="AF7:AF18">SUMIF($Q$7:$Q$45,$AE7,R$7:R$45)</f>
        <v>4</v>
      </c>
      <c r="AG7" s="1">
        <f aca="true" t="shared" si="1" ref="AG7:AG18">SUMIF($Q$7:$Q$45,$AE7,S$7:S$45)</f>
        <v>1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28</v>
      </c>
      <c r="AJ7" s="1">
        <f aca="true" t="shared" si="4" ref="AJ7:AJ18">SUMIF($Q$7:$Q$45,$AE7,V$7:V$45)</f>
        <v>9</v>
      </c>
    </row>
    <row r="8" spans="1:36" ht="16.5">
      <c r="A8" s="13">
        <f>A7+1</f>
        <v>2</v>
      </c>
      <c r="B8" s="13" t="s">
        <v>27</v>
      </c>
      <c r="C8" s="13">
        <v>1</v>
      </c>
      <c r="D8" s="14">
        <v>0.4479166666666667</v>
      </c>
      <c r="E8" s="13" t="s">
        <v>9</v>
      </c>
      <c r="F8" s="13" t="str">
        <f>Saisondaten!$B$20</f>
        <v>1. MKC Duisburg</v>
      </c>
      <c r="G8" s="13" t="s">
        <v>43</v>
      </c>
      <c r="H8" s="13" t="str">
        <f>Saisondaten!$B$23</f>
        <v>Göttinger PC</v>
      </c>
      <c r="I8" s="20">
        <v>4</v>
      </c>
      <c r="J8" s="13" t="s">
        <v>43</v>
      </c>
      <c r="K8" s="20">
        <v>3</v>
      </c>
      <c r="L8" s="179" t="str">
        <f>IF(VLOOKUP(A8,Schiedsrichter!$A$3:$I$176,8,FALSE)=0,"-",VLOOKUP(A8,Schiedsrichter!$A$3:$I$176,8,FALSE))</f>
        <v>KGW Essen</v>
      </c>
      <c r="M8" s="173" t="s">
        <v>249</v>
      </c>
      <c r="N8" s="185" t="str">
        <f>IF(VLOOKUP(A8,Schiedsrichter!$A$3:$I$176,9,FALSE)=0,"-",VLOOKUP(A8,Schiedsrichter!$A$3:$I$176,9,FALSE))</f>
        <v>KRM Essen</v>
      </c>
      <c r="P8" s="1">
        <f aca="true" t="shared" si="5" ref="P8:P45">IF(OR(I8="",K8=""),"na",1)</f>
        <v>1</v>
      </c>
      <c r="Q8" s="1" t="str">
        <f>F8</f>
        <v>1. MKC Duisburg</v>
      </c>
      <c r="R8" s="1">
        <f aca="true" t="shared" si="6" ref="R8:R45">IF($P8=1,IF($I8&gt;$K8,1,0),"")</f>
        <v>1</v>
      </c>
      <c r="S8" s="1">
        <f aca="true" t="shared" si="7" ref="S8:S45">IF($P8=1,IF($I8=$K8,1,0),"")</f>
        <v>0</v>
      </c>
      <c r="T8" s="1">
        <f aca="true" t="shared" si="8" ref="T8:T45">IF($P8=1,IF($I8&lt;$K8,1,0),"")</f>
        <v>0</v>
      </c>
      <c r="U8" s="1">
        <f aca="true" t="shared" si="9" ref="U8:U45">IF($P8=1,$I8,"")</f>
        <v>4</v>
      </c>
      <c r="V8" s="1">
        <f aca="true" t="shared" si="10" ref="V8:V45">IF($P8=1,$K8,"")</f>
        <v>3</v>
      </c>
      <c r="W8" s="1" t="str">
        <f aca="true" t="shared" si="11" ref="W8:W45">H8</f>
        <v>Göttinger PC</v>
      </c>
      <c r="X8" s="1">
        <f aca="true" t="shared" si="12" ref="X8:X45">IF($P8=1,IF($I8&lt;$K8,1,0),"")</f>
        <v>0</v>
      </c>
      <c r="Y8" s="1">
        <f aca="true" t="shared" si="13" ref="Y8:Y45">IF($P8=1,IF($I8=$K8,1,0),"")</f>
        <v>0</v>
      </c>
      <c r="Z8" s="1">
        <f aca="true" t="shared" si="14" ref="Z8:Z45">IF($P8=1,IF($I8&gt;$K8,1,0),"")</f>
        <v>1</v>
      </c>
      <c r="AA8" s="1">
        <f aca="true" t="shared" si="15" ref="AA8:AA45">IF($P8=1,$K8,"")</f>
        <v>3</v>
      </c>
      <c r="AB8" s="1">
        <f aca="true" t="shared" si="16" ref="AB8:AB45">IF($P8=1,$I8,"")</f>
        <v>4</v>
      </c>
      <c r="AE8" s="1" t="str">
        <f>Saisondaten!B19</f>
        <v>WSF Liblar</v>
      </c>
      <c r="AF8" s="1">
        <f t="shared" si="0"/>
        <v>3</v>
      </c>
      <c r="AG8" s="1">
        <f t="shared" si="1"/>
        <v>1</v>
      </c>
      <c r="AH8" s="1">
        <f t="shared" si="2"/>
        <v>0</v>
      </c>
      <c r="AI8" s="1">
        <f t="shared" si="3"/>
        <v>17</v>
      </c>
      <c r="AJ8" s="1">
        <f t="shared" si="4"/>
        <v>9</v>
      </c>
    </row>
    <row r="9" spans="1:36" ht="16.5">
      <c r="A9" s="3">
        <f aca="true" t="shared" si="17" ref="A9:A15">A8+1</f>
        <v>3</v>
      </c>
      <c r="B9" s="3" t="s">
        <v>27</v>
      </c>
      <c r="C9" s="3">
        <v>1</v>
      </c>
      <c r="D9" s="4">
        <v>0.4791666666666667</v>
      </c>
      <c r="E9" s="3" t="s">
        <v>9</v>
      </c>
      <c r="F9" s="3" t="str">
        <f>Saisondaten!$B$19</f>
        <v>WSF Liblar</v>
      </c>
      <c r="G9" s="3" t="s">
        <v>43</v>
      </c>
      <c r="H9" s="3" t="str">
        <f>Saisondaten!$B$21</f>
        <v>KC Wetter</v>
      </c>
      <c r="I9" s="21">
        <v>7</v>
      </c>
      <c r="J9" s="3" t="s">
        <v>43</v>
      </c>
      <c r="K9" s="21">
        <v>3</v>
      </c>
      <c r="L9" s="180" t="str">
        <f>IF(VLOOKUP(A9,Schiedsrichter!$A$3:$I$176,8,FALSE)=0,"-",VLOOKUP(A9,Schiedsrichter!$A$3:$I$176,8,FALSE))</f>
        <v>1. MKC Duisburg</v>
      </c>
      <c r="M9" s="174" t="s">
        <v>249</v>
      </c>
      <c r="N9" s="186" t="str">
        <f>IF(VLOOKUP(A9,Schiedsrichter!$A$3:$I$176,9,FALSE)=0,"-",VLOOKUP(A9,Schiedsrichter!$A$3:$I$176,9,FALSE))</f>
        <v>Göttinger PC</v>
      </c>
      <c r="P9" s="1">
        <f t="shared" si="5"/>
        <v>1</v>
      </c>
      <c r="Q9" s="1" t="str">
        <f aca="true" t="shared" si="18" ref="Q9:Q45">F9</f>
        <v>WSF Liblar</v>
      </c>
      <c r="R9" s="1">
        <f t="shared" si="6"/>
        <v>1</v>
      </c>
      <c r="S9" s="1">
        <f t="shared" si="7"/>
        <v>0</v>
      </c>
      <c r="T9" s="1">
        <f t="shared" si="8"/>
        <v>0</v>
      </c>
      <c r="U9" s="1">
        <f t="shared" si="9"/>
        <v>7</v>
      </c>
      <c r="V9" s="1">
        <f t="shared" si="10"/>
        <v>3</v>
      </c>
      <c r="W9" s="1" t="str">
        <f t="shared" si="11"/>
        <v>KC Wetter</v>
      </c>
      <c r="X9" s="1">
        <f t="shared" si="12"/>
        <v>0</v>
      </c>
      <c r="Y9" s="1">
        <f t="shared" si="13"/>
        <v>0</v>
      </c>
      <c r="Z9" s="1">
        <f t="shared" si="14"/>
        <v>1</v>
      </c>
      <c r="AA9" s="1">
        <f t="shared" si="15"/>
        <v>3</v>
      </c>
      <c r="AB9" s="1">
        <f t="shared" si="16"/>
        <v>7</v>
      </c>
      <c r="AE9" s="1" t="str">
        <f>Saisondaten!B20</f>
        <v>1. MKC Duisburg</v>
      </c>
      <c r="AF9" s="1">
        <f t="shared" si="0"/>
        <v>3</v>
      </c>
      <c r="AG9" s="1">
        <f t="shared" si="1"/>
        <v>0</v>
      </c>
      <c r="AH9" s="1">
        <f t="shared" si="2"/>
        <v>0</v>
      </c>
      <c r="AI9" s="1">
        <f t="shared" si="3"/>
        <v>15</v>
      </c>
      <c r="AJ9" s="1">
        <f t="shared" si="4"/>
        <v>6</v>
      </c>
    </row>
    <row r="10" spans="1:36" ht="16.5">
      <c r="A10" s="13">
        <f t="shared" si="17"/>
        <v>4</v>
      </c>
      <c r="B10" s="13" t="s">
        <v>27</v>
      </c>
      <c r="C10" s="13">
        <v>1</v>
      </c>
      <c r="D10" s="14">
        <v>0.53125</v>
      </c>
      <c r="E10" s="13" t="s">
        <v>9</v>
      </c>
      <c r="F10" s="13" t="str">
        <f>Saisondaten!$B$20</f>
        <v>1. MKC Duisburg</v>
      </c>
      <c r="G10" s="13" t="s">
        <v>43</v>
      </c>
      <c r="H10" s="13" t="str">
        <f>Saisondaten!$B$22</f>
        <v>KGW Essen</v>
      </c>
      <c r="I10" s="20">
        <v>3</v>
      </c>
      <c r="J10" s="13" t="s">
        <v>43</v>
      </c>
      <c r="K10" s="20">
        <v>1</v>
      </c>
      <c r="L10" s="179" t="str">
        <f>IF(VLOOKUP(A10,Schiedsrichter!$A$3:$I$176,8,FALSE)=0,"-",VLOOKUP(A10,Schiedsrichter!$A$3:$I$176,8,FALSE))</f>
        <v>Göttinger PC</v>
      </c>
      <c r="M10" s="173" t="s">
        <v>249</v>
      </c>
      <c r="N10" s="185" t="str">
        <f>IF(VLOOKUP(A10,Schiedsrichter!$A$3:$I$176,9,FALSE)=0,"-",VLOOKUP(A10,Schiedsrichter!$A$3:$I$176,9,FALSE))</f>
        <v>WSF Liblar</v>
      </c>
      <c r="P10" s="1">
        <f t="shared" si="5"/>
        <v>1</v>
      </c>
      <c r="Q10" s="1" t="str">
        <f t="shared" si="18"/>
        <v>1. MKC Duisburg</v>
      </c>
      <c r="R10" s="1">
        <f t="shared" si="6"/>
        <v>1</v>
      </c>
      <c r="S10" s="1">
        <f t="shared" si="7"/>
        <v>0</v>
      </c>
      <c r="T10" s="1">
        <f t="shared" si="8"/>
        <v>0</v>
      </c>
      <c r="U10" s="1">
        <f t="shared" si="9"/>
        <v>3</v>
      </c>
      <c r="V10" s="1">
        <f t="shared" si="10"/>
        <v>1</v>
      </c>
      <c r="W10" s="1" t="str">
        <f t="shared" si="11"/>
        <v>KGW Essen</v>
      </c>
      <c r="X10" s="1">
        <f t="shared" si="12"/>
        <v>0</v>
      </c>
      <c r="Y10" s="1">
        <f t="shared" si="13"/>
        <v>0</v>
      </c>
      <c r="Z10" s="1">
        <f t="shared" si="14"/>
        <v>1</v>
      </c>
      <c r="AA10" s="1">
        <f t="shared" si="15"/>
        <v>1</v>
      </c>
      <c r="AB10" s="1">
        <f t="shared" si="16"/>
        <v>3</v>
      </c>
      <c r="AE10" s="1" t="str">
        <f>Saisondaten!B21</f>
        <v>KC Wetter</v>
      </c>
      <c r="AF10" s="1">
        <f t="shared" si="0"/>
        <v>0</v>
      </c>
      <c r="AG10" s="1">
        <f t="shared" si="1"/>
        <v>2</v>
      </c>
      <c r="AH10" s="1">
        <f t="shared" si="2"/>
        <v>0</v>
      </c>
      <c r="AI10" s="1">
        <f t="shared" si="3"/>
        <v>5</v>
      </c>
      <c r="AJ10" s="1">
        <f t="shared" si="4"/>
        <v>5</v>
      </c>
    </row>
    <row r="11" spans="1:36" ht="16.5">
      <c r="A11" s="3">
        <f t="shared" si="17"/>
        <v>5</v>
      </c>
      <c r="B11" s="3" t="s">
        <v>27</v>
      </c>
      <c r="C11" s="3">
        <v>1</v>
      </c>
      <c r="D11" s="4">
        <v>0.5729166666666666</v>
      </c>
      <c r="E11" s="3" t="s">
        <v>9</v>
      </c>
      <c r="F11" s="3" t="str">
        <f>Saisondaten!$B$18</f>
        <v>KRM Essen</v>
      </c>
      <c r="G11" s="3" t="s">
        <v>43</v>
      </c>
      <c r="H11" s="3" t="str">
        <f>Saisondaten!$B$21</f>
        <v>KC Wetter</v>
      </c>
      <c r="I11" s="21">
        <v>8</v>
      </c>
      <c r="J11" s="3" t="s">
        <v>43</v>
      </c>
      <c r="K11" s="21">
        <v>3</v>
      </c>
      <c r="L11" s="180" t="str">
        <f>IF(VLOOKUP(A11,Schiedsrichter!$A$3:$I$176,8,FALSE)=0,"-",VLOOKUP(A11,Schiedsrichter!$A$3:$I$176,8,FALSE))</f>
        <v>1. MKC Duisburg</v>
      </c>
      <c r="M11" s="174" t="s">
        <v>249</v>
      </c>
      <c r="N11" s="186" t="str">
        <f>IF(VLOOKUP(A11,Schiedsrichter!$A$3:$I$176,9,FALSE)=0,"-",VLOOKUP(A11,Schiedsrichter!$A$3:$I$176,9,FALSE))</f>
        <v>KGW Essen</v>
      </c>
      <c r="P11" s="1">
        <f t="shared" si="5"/>
        <v>1</v>
      </c>
      <c r="Q11" s="1" t="str">
        <f t="shared" si="18"/>
        <v>KRM Essen</v>
      </c>
      <c r="R11" s="1">
        <f t="shared" si="6"/>
        <v>1</v>
      </c>
      <c r="S11" s="1">
        <f t="shared" si="7"/>
        <v>0</v>
      </c>
      <c r="T11" s="1">
        <f t="shared" si="8"/>
        <v>0</v>
      </c>
      <c r="U11" s="1">
        <f t="shared" si="9"/>
        <v>8</v>
      </c>
      <c r="V11" s="1">
        <f t="shared" si="10"/>
        <v>3</v>
      </c>
      <c r="W11" s="1" t="str">
        <f t="shared" si="11"/>
        <v>KC Wetter</v>
      </c>
      <c r="X11" s="1">
        <f t="shared" si="12"/>
        <v>0</v>
      </c>
      <c r="Y11" s="1">
        <f t="shared" si="13"/>
        <v>0</v>
      </c>
      <c r="Z11" s="1">
        <f t="shared" si="14"/>
        <v>1</v>
      </c>
      <c r="AA11" s="1">
        <f t="shared" si="15"/>
        <v>3</v>
      </c>
      <c r="AB11" s="1">
        <f t="shared" si="16"/>
        <v>8</v>
      </c>
      <c r="AE11" s="1" t="str">
        <f>Saisondaten!B22</f>
        <v>KGW Essen</v>
      </c>
      <c r="AF11" s="1">
        <f t="shared" si="0"/>
        <v>1</v>
      </c>
      <c r="AG11" s="1">
        <f t="shared" si="1"/>
        <v>0</v>
      </c>
      <c r="AH11" s="1">
        <f t="shared" si="2"/>
        <v>0</v>
      </c>
      <c r="AI11" s="1">
        <f t="shared" si="3"/>
        <v>4</v>
      </c>
      <c r="AJ11" s="1">
        <f t="shared" si="4"/>
        <v>2</v>
      </c>
    </row>
    <row r="12" spans="1:36" ht="16.5">
      <c r="A12" s="13">
        <f t="shared" si="17"/>
        <v>6</v>
      </c>
      <c r="B12" s="13" t="s">
        <v>27</v>
      </c>
      <c r="C12" s="13">
        <v>1</v>
      </c>
      <c r="D12" s="14">
        <v>0.6041666666666666</v>
      </c>
      <c r="E12" s="13" t="s">
        <v>9</v>
      </c>
      <c r="F12" s="13" t="str">
        <f>Saisondaten!$B$19</f>
        <v>WSF Liblar</v>
      </c>
      <c r="G12" s="13" t="s">
        <v>43</v>
      </c>
      <c r="H12" s="13" t="str">
        <f>Saisondaten!$B$23</f>
        <v>Göttinger PC</v>
      </c>
      <c r="I12" s="20">
        <v>4</v>
      </c>
      <c r="J12" s="13" t="s">
        <v>43</v>
      </c>
      <c r="K12" s="20">
        <v>1</v>
      </c>
      <c r="L12" s="179" t="str">
        <f>IF(VLOOKUP(A12,Schiedsrichter!$A$3:$I$176,8,FALSE)=0,"-",VLOOKUP(A12,Schiedsrichter!$A$3:$I$176,8,FALSE))</f>
        <v>KGW Essen</v>
      </c>
      <c r="M12" s="173" t="s">
        <v>249</v>
      </c>
      <c r="N12" s="185" t="str">
        <f>IF(VLOOKUP(A12,Schiedsrichter!$A$3:$I$176,9,FALSE)=0,"-",VLOOKUP(A12,Schiedsrichter!$A$3:$I$176,9,FALSE))</f>
        <v>KC Wetter</v>
      </c>
      <c r="P12" s="1">
        <f t="shared" si="5"/>
        <v>1</v>
      </c>
      <c r="Q12" s="1" t="str">
        <f t="shared" si="18"/>
        <v>WSF Liblar</v>
      </c>
      <c r="R12" s="1">
        <f t="shared" si="6"/>
        <v>1</v>
      </c>
      <c r="S12" s="1">
        <f t="shared" si="7"/>
        <v>0</v>
      </c>
      <c r="T12" s="1">
        <f t="shared" si="8"/>
        <v>0</v>
      </c>
      <c r="U12" s="1">
        <f t="shared" si="9"/>
        <v>4</v>
      </c>
      <c r="V12" s="1">
        <f t="shared" si="10"/>
        <v>1</v>
      </c>
      <c r="W12" s="1" t="str">
        <f t="shared" si="11"/>
        <v>Göttinger PC</v>
      </c>
      <c r="X12" s="1">
        <f t="shared" si="12"/>
        <v>0</v>
      </c>
      <c r="Y12" s="1">
        <f t="shared" si="13"/>
        <v>0</v>
      </c>
      <c r="Z12" s="1">
        <f t="shared" si="14"/>
        <v>1</v>
      </c>
      <c r="AA12" s="1">
        <f t="shared" si="15"/>
        <v>1</v>
      </c>
      <c r="AB12" s="1">
        <f t="shared" si="16"/>
        <v>4</v>
      </c>
      <c r="AE12" s="1" t="str">
        <f>Saisondaten!B23</f>
        <v>Göttinger PC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">
        <f t="shared" si="17"/>
        <v>7</v>
      </c>
      <c r="B13" s="3" t="s">
        <v>27</v>
      </c>
      <c r="C13" s="3">
        <v>1</v>
      </c>
      <c r="D13" s="4">
        <v>0.6458333333333334</v>
      </c>
      <c r="E13" s="3" t="s">
        <v>9</v>
      </c>
      <c r="F13" s="3" t="str">
        <f>Saisondaten!$B$18</f>
        <v>KRM Essen</v>
      </c>
      <c r="G13" s="3" t="s">
        <v>43</v>
      </c>
      <c r="H13" s="3" t="str">
        <f>Saisondaten!$B$20</f>
        <v>1. MKC Duisburg</v>
      </c>
      <c r="I13" s="21">
        <v>3</v>
      </c>
      <c r="J13" s="3" t="s">
        <v>43</v>
      </c>
      <c r="K13" s="21">
        <v>3</v>
      </c>
      <c r="L13" s="180" t="str">
        <f>IF(VLOOKUP(A13,Schiedsrichter!$A$3:$I$176,8,FALSE)=0,"-",VLOOKUP(A13,Schiedsrichter!$A$3:$I$176,8,FALSE))</f>
        <v>KC Wetter</v>
      </c>
      <c r="M13" s="174" t="s">
        <v>249</v>
      </c>
      <c r="N13" s="186" t="str">
        <f>IF(VLOOKUP(A13,Schiedsrichter!$A$3:$I$176,9,FALSE)=0,"-",VLOOKUP(A13,Schiedsrichter!$A$3:$I$176,9,FALSE))</f>
        <v>Göttinger PC</v>
      </c>
      <c r="P13" s="1">
        <f t="shared" si="5"/>
        <v>1</v>
      </c>
      <c r="Q13" s="1" t="str">
        <f t="shared" si="18"/>
        <v>KRM Essen</v>
      </c>
      <c r="R13" s="1">
        <f t="shared" si="6"/>
        <v>0</v>
      </c>
      <c r="S13" s="1">
        <f t="shared" si="7"/>
        <v>1</v>
      </c>
      <c r="T13" s="1">
        <f t="shared" si="8"/>
        <v>0</v>
      </c>
      <c r="U13" s="1">
        <f t="shared" si="9"/>
        <v>3</v>
      </c>
      <c r="V13" s="1">
        <f t="shared" si="10"/>
        <v>3</v>
      </c>
      <c r="W13" s="1" t="str">
        <f t="shared" si="11"/>
        <v>1. MKC Duisburg</v>
      </c>
      <c r="X13" s="1">
        <f t="shared" si="12"/>
        <v>0</v>
      </c>
      <c r="Y13" s="1">
        <f t="shared" si="13"/>
        <v>1</v>
      </c>
      <c r="Z13" s="1">
        <f t="shared" si="14"/>
        <v>0</v>
      </c>
      <c r="AA13" s="1">
        <f t="shared" si="15"/>
        <v>3</v>
      </c>
      <c r="AB13" s="1">
        <f t="shared" si="16"/>
        <v>3</v>
      </c>
      <c r="AE13" s="1" t="str">
        <f>Saisondaten!C18</f>
        <v>ACC Hamburg</v>
      </c>
      <c r="AF13" s="1">
        <f t="shared" si="0"/>
        <v>2</v>
      </c>
      <c r="AG13" s="1">
        <f t="shared" si="1"/>
        <v>1</v>
      </c>
      <c r="AH13" s="1">
        <f t="shared" si="2"/>
        <v>2</v>
      </c>
      <c r="AI13" s="1">
        <f t="shared" si="3"/>
        <v>14</v>
      </c>
      <c r="AJ13" s="1">
        <f t="shared" si="4"/>
        <v>18</v>
      </c>
    </row>
    <row r="14" spans="1:36" ht="16.5">
      <c r="A14" s="13">
        <f t="shared" si="17"/>
        <v>8</v>
      </c>
      <c r="B14" s="13" t="s">
        <v>27</v>
      </c>
      <c r="C14" s="13">
        <v>1</v>
      </c>
      <c r="D14" s="14">
        <v>0.6770833333333334</v>
      </c>
      <c r="E14" s="13" t="s">
        <v>9</v>
      </c>
      <c r="F14" s="13" t="str">
        <f>Saisondaten!$B$19</f>
        <v>WSF Liblar</v>
      </c>
      <c r="G14" s="13" t="s">
        <v>43</v>
      </c>
      <c r="H14" s="13" t="str">
        <f>Saisondaten!$B$22</f>
        <v>KGW Essen</v>
      </c>
      <c r="I14" s="20">
        <v>2</v>
      </c>
      <c r="J14" s="13" t="s">
        <v>43</v>
      </c>
      <c r="K14" s="20">
        <v>2</v>
      </c>
      <c r="L14" s="179" t="str">
        <f>IF(VLOOKUP(A14,Schiedsrichter!$A$3:$I$176,8,FALSE)=0,"-",VLOOKUP(A14,Schiedsrichter!$A$3:$I$176,8,FALSE))</f>
        <v>KRM Essen</v>
      </c>
      <c r="M14" s="173" t="s">
        <v>249</v>
      </c>
      <c r="N14" s="185" t="str">
        <f>IF(VLOOKUP(A14,Schiedsrichter!$A$3:$I$176,9,FALSE)=0,"-",VLOOKUP(A14,Schiedsrichter!$A$3:$I$176,9,FALSE))</f>
        <v>1. MKC Duisburg</v>
      </c>
      <c r="P14" s="1">
        <f t="shared" si="5"/>
        <v>1</v>
      </c>
      <c r="Q14" s="1" t="str">
        <f t="shared" si="18"/>
        <v>WSF Liblar</v>
      </c>
      <c r="R14" s="1">
        <f t="shared" si="6"/>
        <v>0</v>
      </c>
      <c r="S14" s="1">
        <f t="shared" si="7"/>
        <v>1</v>
      </c>
      <c r="T14" s="1">
        <f t="shared" si="8"/>
        <v>0</v>
      </c>
      <c r="U14" s="1">
        <f t="shared" si="9"/>
        <v>2</v>
      </c>
      <c r="V14" s="1">
        <f t="shared" si="10"/>
        <v>2</v>
      </c>
      <c r="W14" s="1" t="str">
        <f t="shared" si="11"/>
        <v>KGW Essen</v>
      </c>
      <c r="X14" s="1">
        <f t="shared" si="12"/>
        <v>0</v>
      </c>
      <c r="Y14" s="1">
        <f t="shared" si="13"/>
        <v>1</v>
      </c>
      <c r="Z14" s="1">
        <f t="shared" si="14"/>
        <v>0</v>
      </c>
      <c r="AA14" s="1">
        <f t="shared" si="15"/>
        <v>2</v>
      </c>
      <c r="AB14" s="1">
        <f t="shared" si="16"/>
        <v>2</v>
      </c>
      <c r="AE14" s="1" t="str">
        <f>Saisondaten!C19</f>
        <v>KCNW Berlin</v>
      </c>
      <c r="AF14" s="1">
        <f t="shared" si="0"/>
        <v>3</v>
      </c>
      <c r="AG14" s="1">
        <f t="shared" si="1"/>
        <v>0</v>
      </c>
      <c r="AH14" s="1">
        <f t="shared" si="2"/>
        <v>1</v>
      </c>
      <c r="AI14" s="1">
        <f t="shared" si="3"/>
        <v>12</v>
      </c>
      <c r="AJ14" s="1">
        <f t="shared" si="4"/>
        <v>8</v>
      </c>
    </row>
    <row r="15" spans="1:36" ht="16.5">
      <c r="A15" s="3">
        <f t="shared" si="17"/>
        <v>9</v>
      </c>
      <c r="B15" s="3" t="s">
        <v>27</v>
      </c>
      <c r="C15" s="3">
        <v>1</v>
      </c>
      <c r="D15" s="4">
        <v>0.7083333333333334</v>
      </c>
      <c r="E15" s="3" t="s">
        <v>9</v>
      </c>
      <c r="F15" s="3" t="str">
        <f>Saisondaten!$B$21</f>
        <v>KC Wetter</v>
      </c>
      <c r="G15" s="3" t="s">
        <v>43</v>
      </c>
      <c r="H15" s="3" t="str">
        <f>Saisondaten!$B$23</f>
        <v>Göttinger PC</v>
      </c>
      <c r="I15" s="21">
        <v>2</v>
      </c>
      <c r="J15" s="3" t="s">
        <v>43</v>
      </c>
      <c r="K15" s="21">
        <v>2</v>
      </c>
      <c r="L15" s="180" t="str">
        <f>IF(VLOOKUP(A15,Schiedsrichter!$A$3:$I$176,8,FALSE)=0,"-",VLOOKUP(A15,Schiedsrichter!$A$3:$I$176,8,FALSE))</f>
        <v>KRM Essen</v>
      </c>
      <c r="M15" s="174" t="s">
        <v>249</v>
      </c>
      <c r="N15" s="186" t="str">
        <f>IF(VLOOKUP(A15,Schiedsrichter!$A$3:$I$176,9,FALSE)=0,"-",VLOOKUP(A15,Schiedsrichter!$A$3:$I$176,9,FALSE))</f>
        <v>WSF Liblar</v>
      </c>
      <c r="P15" s="1">
        <f t="shared" si="5"/>
        <v>1</v>
      </c>
      <c r="Q15" s="1" t="str">
        <f t="shared" si="18"/>
        <v>KC Wetter</v>
      </c>
      <c r="R15" s="1">
        <f t="shared" si="6"/>
        <v>0</v>
      </c>
      <c r="S15" s="1">
        <f t="shared" si="7"/>
        <v>1</v>
      </c>
      <c r="T15" s="1">
        <f t="shared" si="8"/>
        <v>0</v>
      </c>
      <c r="U15" s="1">
        <f t="shared" si="9"/>
        <v>2</v>
      </c>
      <c r="V15" s="1">
        <f t="shared" si="10"/>
        <v>2</v>
      </c>
      <c r="W15" s="1" t="str">
        <f t="shared" si="11"/>
        <v>Göttinger PC</v>
      </c>
      <c r="X15" s="1">
        <f t="shared" si="12"/>
        <v>0</v>
      </c>
      <c r="Y15" s="1">
        <f t="shared" si="13"/>
        <v>1</v>
      </c>
      <c r="Z15" s="1">
        <f t="shared" si="14"/>
        <v>0</v>
      </c>
      <c r="AA15" s="1">
        <f t="shared" si="15"/>
        <v>2</v>
      </c>
      <c r="AB15" s="1">
        <f t="shared" si="16"/>
        <v>2</v>
      </c>
      <c r="AE15" s="1" t="str">
        <f>Saisondaten!C20</f>
        <v>RSV Hannover</v>
      </c>
      <c r="AF15" s="1">
        <f t="shared" si="0"/>
        <v>2</v>
      </c>
      <c r="AG15" s="1">
        <f t="shared" si="1"/>
        <v>0</v>
      </c>
      <c r="AH15" s="1">
        <f t="shared" si="2"/>
        <v>1</v>
      </c>
      <c r="AI15" s="1">
        <f t="shared" si="3"/>
        <v>13</v>
      </c>
      <c r="AJ15" s="1">
        <f t="shared" si="4"/>
        <v>6</v>
      </c>
    </row>
    <row r="16" spans="1:36" ht="7.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P16" s="1" t="str">
        <f t="shared" si="5"/>
        <v>na</v>
      </c>
      <c r="Q16" s="1">
        <f t="shared" si="18"/>
        <v>0</v>
      </c>
      <c r="R16" s="1">
        <f t="shared" si="6"/>
      </c>
      <c r="S16" s="1">
        <f t="shared" si="7"/>
      </c>
      <c r="T16" s="1">
        <f t="shared" si="8"/>
      </c>
      <c r="U16" s="1">
        <f t="shared" si="9"/>
      </c>
      <c r="V16" s="1">
        <f t="shared" si="10"/>
      </c>
      <c r="W16" s="1">
        <f t="shared" si="11"/>
        <v>0</v>
      </c>
      <c r="X16" s="1">
        <f t="shared" si="12"/>
      </c>
      <c r="Y16" s="1">
        <f t="shared" si="13"/>
      </c>
      <c r="Z16" s="1">
        <f t="shared" si="14"/>
      </c>
      <c r="AA16" s="1">
        <f t="shared" si="15"/>
      </c>
      <c r="AB16" s="1">
        <f t="shared" si="16"/>
      </c>
      <c r="AE16" s="1" t="str">
        <f>Saisondaten!C21</f>
        <v>VK Berlin</v>
      </c>
      <c r="AF16" s="1">
        <f t="shared" si="0"/>
        <v>0</v>
      </c>
      <c r="AG16" s="1">
        <f t="shared" si="1"/>
        <v>1</v>
      </c>
      <c r="AH16" s="1">
        <f t="shared" si="2"/>
        <v>1</v>
      </c>
      <c r="AI16" s="1">
        <f t="shared" si="3"/>
        <v>8</v>
      </c>
      <c r="AJ16" s="1">
        <f t="shared" si="4"/>
        <v>9</v>
      </c>
    </row>
    <row r="17" spans="1:36" ht="17.25">
      <c r="A17" s="350" t="str">
        <f>TEXT(Saisondaten!$C$8,"[$-F800]TTTT, MMMM TT, JJJJ")</f>
        <v>Sonntag, 6. Mai 2018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P17" s="1" t="str">
        <f t="shared" si="5"/>
        <v>na</v>
      </c>
      <c r="Q17" s="1">
        <f t="shared" si="18"/>
        <v>0</v>
      </c>
      <c r="R17" s="1">
        <f t="shared" si="6"/>
      </c>
      <c r="S17" s="1">
        <f t="shared" si="7"/>
      </c>
      <c r="T17" s="1">
        <f t="shared" si="8"/>
      </c>
      <c r="U17" s="1">
        <f t="shared" si="9"/>
      </c>
      <c r="V17" s="1">
        <f t="shared" si="10"/>
      </c>
      <c r="W17" s="1">
        <f t="shared" si="11"/>
        <v>0</v>
      </c>
      <c r="X17" s="1">
        <f t="shared" si="12"/>
      </c>
      <c r="Y17" s="1">
        <f t="shared" si="13"/>
      </c>
      <c r="Z17" s="1">
        <f t="shared" si="14"/>
      </c>
      <c r="AA17" s="1">
        <f t="shared" si="15"/>
      </c>
      <c r="AB17" s="1">
        <f t="shared" si="16"/>
      </c>
      <c r="AE17" s="1" t="str">
        <f>Saisondaten!C22</f>
        <v>KSV Glauchau</v>
      </c>
      <c r="AF17" s="1">
        <f t="shared" si="0"/>
        <v>0</v>
      </c>
      <c r="AG17" s="1">
        <f t="shared" si="1"/>
        <v>0</v>
      </c>
      <c r="AH17" s="1">
        <f t="shared" si="2"/>
        <v>1</v>
      </c>
      <c r="AI17" s="1">
        <f t="shared" si="3"/>
        <v>3</v>
      </c>
      <c r="AJ17" s="1">
        <f t="shared" si="4"/>
        <v>4</v>
      </c>
    </row>
    <row r="18" spans="1:36" ht="16.5">
      <c r="A18" s="11">
        <f>A15+1</f>
        <v>10</v>
      </c>
      <c r="B18" s="11" t="s">
        <v>27</v>
      </c>
      <c r="C18" s="11">
        <v>1</v>
      </c>
      <c r="D18" s="12">
        <v>0.4166666666666667</v>
      </c>
      <c r="E18" s="11" t="s">
        <v>9</v>
      </c>
      <c r="F18" s="11" t="str">
        <f>Saisondaten!$B$21</f>
        <v>KC Wetter</v>
      </c>
      <c r="G18" s="11" t="s">
        <v>43</v>
      </c>
      <c r="H18" s="11" t="str">
        <f>Saisondaten!$B$22</f>
        <v>KGW Essen</v>
      </c>
      <c r="I18" s="19">
        <v>3</v>
      </c>
      <c r="J18" s="11" t="s">
        <v>43</v>
      </c>
      <c r="K18" s="19">
        <v>3</v>
      </c>
      <c r="L18" s="178" t="str">
        <f>IF(VLOOKUP(A18,Schiedsrichter!$A$3:$I$176,8,FALSE)=0,"-",VLOOKUP(A18,Schiedsrichter!$A$3:$I$176,8,FALSE))</f>
        <v>WSF Liblar</v>
      </c>
      <c r="M18" s="172" t="s">
        <v>249</v>
      </c>
      <c r="N18" s="184" t="str">
        <f>IF(VLOOKUP(A18,Schiedsrichter!$A$3:$I$176,9,FALSE)=0,"-",VLOOKUP(A18,Schiedsrichter!$A$3:$I$176,9,FALSE))</f>
        <v>1. MKC Duisburg</v>
      </c>
      <c r="P18" s="1">
        <f t="shared" si="5"/>
        <v>1</v>
      </c>
      <c r="Q18" s="1" t="str">
        <f t="shared" si="18"/>
        <v>KC Wetter</v>
      </c>
      <c r="R18" s="1">
        <f t="shared" si="6"/>
        <v>0</v>
      </c>
      <c r="S18" s="1">
        <f t="shared" si="7"/>
        <v>1</v>
      </c>
      <c r="T18" s="1">
        <f t="shared" si="8"/>
        <v>0</v>
      </c>
      <c r="U18" s="1">
        <f t="shared" si="9"/>
        <v>3</v>
      </c>
      <c r="V18" s="1">
        <f t="shared" si="10"/>
        <v>3</v>
      </c>
      <c r="W18" s="1" t="str">
        <f t="shared" si="11"/>
        <v>KGW Essen</v>
      </c>
      <c r="X18" s="1">
        <f t="shared" si="12"/>
        <v>0</v>
      </c>
      <c r="Y18" s="1">
        <f t="shared" si="13"/>
        <v>1</v>
      </c>
      <c r="Z18" s="1">
        <f t="shared" si="14"/>
        <v>0</v>
      </c>
      <c r="AA18" s="1">
        <f t="shared" si="15"/>
        <v>3</v>
      </c>
      <c r="AB18" s="1">
        <f t="shared" si="16"/>
        <v>3</v>
      </c>
      <c r="AE18" s="1" t="str">
        <f>Saisondaten!C23</f>
        <v>KSVH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5">
        <f>A18+1</f>
        <v>11</v>
      </c>
      <c r="B19" s="15" t="s">
        <v>27</v>
      </c>
      <c r="C19" s="15">
        <v>1</v>
      </c>
      <c r="D19" s="16">
        <v>0.4479166666666667</v>
      </c>
      <c r="E19" s="15" t="s">
        <v>9</v>
      </c>
      <c r="F19" s="15" t="str">
        <f>Saisondaten!$B$18</f>
        <v>KRM Essen</v>
      </c>
      <c r="G19" s="15" t="s">
        <v>43</v>
      </c>
      <c r="H19" s="15" t="str">
        <f>Saisondaten!$B$23</f>
        <v>Göttinger PC</v>
      </c>
      <c r="I19" s="22">
        <v>7</v>
      </c>
      <c r="J19" s="15" t="s">
        <v>43</v>
      </c>
      <c r="K19" s="22">
        <v>0</v>
      </c>
      <c r="L19" s="181" t="str">
        <f>IF(VLOOKUP(A19,Schiedsrichter!$A$3:$I$176,8,FALSE)=0,"-",VLOOKUP(A19,Schiedsrichter!$A$3:$I$176,8,FALSE))</f>
        <v>KC Wetter</v>
      </c>
      <c r="M19" s="175" t="s">
        <v>249</v>
      </c>
      <c r="N19" s="187" t="str">
        <f>IF(VLOOKUP(A19,Schiedsrichter!$A$3:$I$176,9,FALSE)=0,"-",VLOOKUP(A19,Schiedsrichter!$A$3:$I$176,9,FALSE))</f>
        <v>KGW Essen</v>
      </c>
      <c r="P19" s="1">
        <f t="shared" si="5"/>
        <v>1</v>
      </c>
      <c r="Q19" s="1" t="str">
        <f t="shared" si="18"/>
        <v>KRM Essen</v>
      </c>
      <c r="R19" s="1">
        <f t="shared" si="6"/>
        <v>1</v>
      </c>
      <c r="S19" s="1">
        <f t="shared" si="7"/>
        <v>0</v>
      </c>
      <c r="T19" s="1">
        <f t="shared" si="8"/>
        <v>0</v>
      </c>
      <c r="U19" s="1">
        <f t="shared" si="9"/>
        <v>7</v>
      </c>
      <c r="V19" s="1">
        <f t="shared" si="10"/>
        <v>0</v>
      </c>
      <c r="W19" s="1" t="str">
        <f t="shared" si="11"/>
        <v>Göttinger PC</v>
      </c>
      <c r="X19" s="1">
        <f t="shared" si="12"/>
        <v>0</v>
      </c>
      <c r="Y19" s="1">
        <f t="shared" si="13"/>
        <v>0</v>
      </c>
      <c r="Z19" s="1">
        <f t="shared" si="14"/>
        <v>1</v>
      </c>
      <c r="AA19" s="1">
        <f t="shared" si="15"/>
        <v>0</v>
      </c>
      <c r="AB19" s="1">
        <f t="shared" si="16"/>
        <v>7</v>
      </c>
    </row>
    <row r="20" spans="1:28" ht="16.5">
      <c r="A20" s="3">
        <f>A19+1</f>
        <v>12</v>
      </c>
      <c r="B20" s="3" t="s">
        <v>27</v>
      </c>
      <c r="C20" s="3">
        <v>1</v>
      </c>
      <c r="D20" s="4">
        <v>0.4791666666666667</v>
      </c>
      <c r="E20" s="3" t="s">
        <v>9</v>
      </c>
      <c r="F20" s="3" t="str">
        <f>Saisondaten!$B$19</f>
        <v>WSF Liblar</v>
      </c>
      <c r="G20" s="3" t="s">
        <v>43</v>
      </c>
      <c r="H20" s="3" t="str">
        <f>Saisondaten!$B$20</f>
        <v>1. MKC Duisburg</v>
      </c>
      <c r="I20" s="21">
        <v>4</v>
      </c>
      <c r="J20" s="3" t="s">
        <v>43</v>
      </c>
      <c r="K20" s="21">
        <v>3</v>
      </c>
      <c r="L20" s="180" t="str">
        <f>IF(VLOOKUP(A20,Schiedsrichter!$A$3:$I$176,8,FALSE)=0,"-",VLOOKUP(A20,Schiedsrichter!$A$3:$I$176,8,FALSE))</f>
        <v>Göttinger PC</v>
      </c>
      <c r="M20" s="174" t="s">
        <v>249</v>
      </c>
      <c r="N20" s="186" t="str">
        <f>IF(VLOOKUP(A20,Schiedsrichter!$A$3:$I$176,9,FALSE)=0,"-",VLOOKUP(A20,Schiedsrichter!$A$3:$I$176,9,FALSE))</f>
        <v>KRM Essen</v>
      </c>
      <c r="P20" s="1">
        <f t="shared" si="5"/>
        <v>1</v>
      </c>
      <c r="Q20" s="1" t="str">
        <f t="shared" si="18"/>
        <v>WSF Liblar</v>
      </c>
      <c r="R20" s="1">
        <f t="shared" si="6"/>
        <v>1</v>
      </c>
      <c r="S20" s="1">
        <f t="shared" si="7"/>
        <v>0</v>
      </c>
      <c r="T20" s="1">
        <f t="shared" si="8"/>
        <v>0</v>
      </c>
      <c r="U20" s="1">
        <f t="shared" si="9"/>
        <v>4</v>
      </c>
      <c r="V20" s="1">
        <f t="shared" si="10"/>
        <v>3</v>
      </c>
      <c r="W20" s="1" t="str">
        <f t="shared" si="11"/>
        <v>1. MKC Duisburg</v>
      </c>
      <c r="X20" s="1">
        <f t="shared" si="12"/>
        <v>0</v>
      </c>
      <c r="Y20" s="1">
        <f t="shared" si="13"/>
        <v>0</v>
      </c>
      <c r="Z20" s="1">
        <f t="shared" si="14"/>
        <v>1</v>
      </c>
      <c r="AA20" s="1">
        <f t="shared" si="15"/>
        <v>3</v>
      </c>
      <c r="AB20" s="1">
        <f t="shared" si="16"/>
        <v>4</v>
      </c>
    </row>
    <row r="21" spans="1:36" ht="16.5">
      <c r="A21" s="13">
        <f>A20+1</f>
        <v>13</v>
      </c>
      <c r="B21" s="13" t="s">
        <v>27</v>
      </c>
      <c r="C21" s="13">
        <v>1</v>
      </c>
      <c r="D21" s="14">
        <v>0.5208333333333334</v>
      </c>
      <c r="E21" s="13" t="s">
        <v>9</v>
      </c>
      <c r="F21" s="13" t="str">
        <f>Saisondaten!$B$22</f>
        <v>KGW Essen</v>
      </c>
      <c r="G21" s="13" t="s">
        <v>43</v>
      </c>
      <c r="H21" s="13" t="str">
        <f>Saisondaten!$B$23</f>
        <v>Göttinger PC</v>
      </c>
      <c r="I21" s="20">
        <v>4</v>
      </c>
      <c r="J21" s="13" t="s">
        <v>43</v>
      </c>
      <c r="K21" s="20">
        <v>2</v>
      </c>
      <c r="L21" s="179" t="str">
        <f>IF(VLOOKUP(A21,Schiedsrichter!$A$3:$I$176,8,FALSE)=0,"-",VLOOKUP(A21,Schiedsrichter!$A$3:$I$176,8,FALSE))</f>
        <v>KRM Essen</v>
      </c>
      <c r="M21" s="173" t="s">
        <v>249</v>
      </c>
      <c r="N21" s="185" t="str">
        <f>IF(VLOOKUP(A21,Schiedsrichter!$A$3:$I$176,9,FALSE)=0,"-",VLOOKUP(A21,Schiedsrichter!$A$3:$I$176,9,FALSE))</f>
        <v>WSF Liblar</v>
      </c>
      <c r="P21" s="1">
        <f t="shared" si="5"/>
        <v>1</v>
      </c>
      <c r="Q21" s="1" t="str">
        <f t="shared" si="18"/>
        <v>KGW Essen</v>
      </c>
      <c r="R21" s="1">
        <f t="shared" si="6"/>
        <v>1</v>
      </c>
      <c r="S21" s="1">
        <f t="shared" si="7"/>
        <v>0</v>
      </c>
      <c r="T21" s="1">
        <f t="shared" si="8"/>
        <v>0</v>
      </c>
      <c r="U21" s="1">
        <f t="shared" si="9"/>
        <v>4</v>
      </c>
      <c r="V21" s="1">
        <f t="shared" si="10"/>
        <v>2</v>
      </c>
      <c r="W21" s="1" t="str">
        <f t="shared" si="11"/>
        <v>Göttinger PC</v>
      </c>
      <c r="X21" s="1">
        <f t="shared" si="12"/>
        <v>0</v>
      </c>
      <c r="Y21" s="1">
        <f t="shared" si="13"/>
        <v>0</v>
      </c>
      <c r="Z21" s="1">
        <f t="shared" si="14"/>
        <v>1</v>
      </c>
      <c r="AA21" s="1">
        <f t="shared" si="15"/>
        <v>2</v>
      </c>
      <c r="AB21" s="1">
        <f t="shared" si="16"/>
        <v>4</v>
      </c>
      <c r="AE21" s="63" t="s">
        <v>45</v>
      </c>
      <c r="AF21" s="1" t="s">
        <v>54</v>
      </c>
      <c r="AG21" s="1" t="s">
        <v>47</v>
      </c>
      <c r="AH21" s="1" t="s">
        <v>53</v>
      </c>
      <c r="AI21" s="1" t="s">
        <v>50</v>
      </c>
      <c r="AJ21" s="1" t="s">
        <v>23</v>
      </c>
    </row>
    <row r="22" spans="1:36" ht="16.5">
      <c r="A22" s="8">
        <f>A21+1</f>
        <v>14</v>
      </c>
      <c r="B22" s="8" t="s">
        <v>27</v>
      </c>
      <c r="C22" s="8">
        <v>1</v>
      </c>
      <c r="D22" s="9">
        <v>0.5520833333333334</v>
      </c>
      <c r="E22" s="8" t="s">
        <v>9</v>
      </c>
      <c r="F22" s="8" t="str">
        <f>Saisondaten!$B$20</f>
        <v>1. MKC Duisburg</v>
      </c>
      <c r="G22" s="8" t="s">
        <v>43</v>
      </c>
      <c r="H22" s="8" t="str">
        <f>Saisondaten!$B$21</f>
        <v>KC Wetter</v>
      </c>
      <c r="I22" s="23">
        <v>8</v>
      </c>
      <c r="J22" s="8" t="s">
        <v>43</v>
      </c>
      <c r="K22" s="23">
        <v>2</v>
      </c>
      <c r="L22" s="182" t="str">
        <f>IF(VLOOKUP(A22,Schiedsrichter!$A$3:$I$176,8,FALSE)=0,"-",VLOOKUP(A22,Schiedsrichter!$A$3:$I$176,8,FALSE))</f>
        <v>KGW Essen</v>
      </c>
      <c r="M22" s="176" t="s">
        <v>249</v>
      </c>
      <c r="N22" s="188" t="str">
        <f>IF(VLOOKUP(A22,Schiedsrichter!$A$3:$I$176,9,FALSE)=0,"-",VLOOKUP(A22,Schiedsrichter!$A$3:$I$176,9,FALSE))</f>
        <v>Göttinger PC</v>
      </c>
      <c r="P22" s="1">
        <f t="shared" si="5"/>
        <v>1</v>
      </c>
      <c r="Q22" s="1" t="str">
        <f t="shared" si="18"/>
        <v>1. MKC Duisburg</v>
      </c>
      <c r="R22" s="1">
        <f t="shared" si="6"/>
        <v>1</v>
      </c>
      <c r="S22" s="1">
        <f t="shared" si="7"/>
        <v>0</v>
      </c>
      <c r="T22" s="1">
        <f t="shared" si="8"/>
        <v>0</v>
      </c>
      <c r="U22" s="1">
        <f t="shared" si="9"/>
        <v>8</v>
      </c>
      <c r="V22" s="1">
        <f t="shared" si="10"/>
        <v>2</v>
      </c>
      <c r="W22" s="1" t="str">
        <f t="shared" si="11"/>
        <v>KC Wetter</v>
      </c>
      <c r="X22" s="1">
        <f t="shared" si="12"/>
        <v>0</v>
      </c>
      <c r="Y22" s="1">
        <f t="shared" si="13"/>
        <v>0</v>
      </c>
      <c r="Z22" s="1">
        <f t="shared" si="14"/>
        <v>1</v>
      </c>
      <c r="AA22" s="1">
        <f t="shared" si="15"/>
        <v>2</v>
      </c>
      <c r="AB22" s="1">
        <f t="shared" si="16"/>
        <v>8</v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7">
        <f>A22+1</f>
        <v>15</v>
      </c>
      <c r="B23" s="17" t="s">
        <v>27</v>
      </c>
      <c r="C23" s="17">
        <v>1</v>
      </c>
      <c r="D23" s="18">
        <v>0.5833333333333334</v>
      </c>
      <c r="E23" s="17" t="s">
        <v>9</v>
      </c>
      <c r="F23" s="17" t="str">
        <f>Saisondaten!$B$18</f>
        <v>KRM Essen</v>
      </c>
      <c r="G23" s="17" t="s">
        <v>43</v>
      </c>
      <c r="H23" s="17" t="str">
        <f>Saisondaten!$B$19</f>
        <v>WSF Liblar</v>
      </c>
      <c r="I23" s="24">
        <v>7</v>
      </c>
      <c r="J23" s="17" t="s">
        <v>43</v>
      </c>
      <c r="K23" s="24">
        <v>1</v>
      </c>
      <c r="L23" s="183" t="str">
        <f>IF(VLOOKUP(A23,Schiedsrichter!$A$3:$I$176,8,FALSE)=0,"-",VLOOKUP(A23,Schiedsrichter!$A$3:$I$176,8,FALSE))</f>
        <v>1. MKC Duisburg</v>
      </c>
      <c r="M23" s="177" t="s">
        <v>249</v>
      </c>
      <c r="N23" s="189" t="str">
        <f>IF(VLOOKUP(A23,Schiedsrichter!$A$3:$I$176,9,FALSE)=0,"-",VLOOKUP(A23,Schiedsrichter!$A$3:$I$176,9,FALSE))</f>
        <v>KC Wetter</v>
      </c>
      <c r="P23" s="1">
        <f t="shared" si="5"/>
        <v>1</v>
      </c>
      <c r="Q23" s="1" t="str">
        <f t="shared" si="18"/>
        <v>KRM Essen</v>
      </c>
      <c r="R23" s="1">
        <f t="shared" si="6"/>
        <v>1</v>
      </c>
      <c r="S23" s="1">
        <f t="shared" si="7"/>
        <v>0</v>
      </c>
      <c r="T23" s="1">
        <f t="shared" si="8"/>
        <v>0</v>
      </c>
      <c r="U23" s="1">
        <f t="shared" si="9"/>
        <v>7</v>
      </c>
      <c r="V23" s="1">
        <f t="shared" si="10"/>
        <v>1</v>
      </c>
      <c r="W23" s="1" t="str">
        <f t="shared" si="11"/>
        <v>WSF Liblar</v>
      </c>
      <c r="X23" s="1">
        <f t="shared" si="12"/>
        <v>0</v>
      </c>
      <c r="Y23" s="1">
        <f t="shared" si="13"/>
        <v>0</v>
      </c>
      <c r="Z23" s="1">
        <f t="shared" si="14"/>
        <v>1</v>
      </c>
      <c r="AA23" s="1">
        <f t="shared" si="15"/>
        <v>1</v>
      </c>
      <c r="AB23" s="1">
        <f t="shared" si="16"/>
        <v>7</v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1</v>
      </c>
      <c r="AI23" s="1">
        <f t="shared" si="22"/>
        <v>1</v>
      </c>
      <c r="AJ23" s="1">
        <f t="shared" si="23"/>
        <v>7</v>
      </c>
    </row>
    <row r="24" spans="4:36" ht="16.5">
      <c r="D24" s="2"/>
      <c r="M24" s="3"/>
      <c r="P24" s="1" t="str">
        <f t="shared" si="5"/>
        <v>na</v>
      </c>
      <c r="Q24" s="1">
        <f t="shared" si="18"/>
        <v>0</v>
      </c>
      <c r="R24" s="1">
        <f t="shared" si="6"/>
      </c>
      <c r="S24" s="1">
        <f t="shared" si="7"/>
      </c>
      <c r="T24" s="1">
        <f t="shared" si="8"/>
      </c>
      <c r="U24" s="1">
        <f t="shared" si="9"/>
      </c>
      <c r="V24" s="1">
        <f t="shared" si="10"/>
      </c>
      <c r="W24" s="1">
        <f t="shared" si="11"/>
        <v>0</v>
      </c>
      <c r="X24" s="1">
        <f t="shared" si="12"/>
      </c>
      <c r="Y24" s="1">
        <f t="shared" si="13"/>
      </c>
      <c r="Z24" s="1">
        <f t="shared" si="14"/>
      </c>
      <c r="AA24" s="1">
        <f t="shared" si="15"/>
      </c>
      <c r="AB24" s="1">
        <f t="shared" si="16"/>
      </c>
      <c r="AE24" s="1" t="str">
        <f t="shared" si="24"/>
        <v>1. MKC Duisburg</v>
      </c>
      <c r="AF24" s="1">
        <f t="shared" si="19"/>
        <v>0</v>
      </c>
      <c r="AG24" s="1">
        <f t="shared" si="20"/>
        <v>1</v>
      </c>
      <c r="AH24" s="1">
        <f t="shared" si="21"/>
        <v>1</v>
      </c>
      <c r="AI24" s="1">
        <f t="shared" si="22"/>
        <v>6</v>
      </c>
      <c r="AJ24" s="1">
        <f t="shared" si="23"/>
        <v>7</v>
      </c>
    </row>
    <row r="25" spans="1:36" ht="18">
      <c r="A25" s="353" t="str">
        <f>"1. Spieltag, Gruppe B"&amp;" in "&amp;Saisondaten!$E$8</f>
        <v>1. Spieltag, Gruppe B in Glauchau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P25" s="1" t="str">
        <f t="shared" si="5"/>
        <v>na</v>
      </c>
      <c r="Q25" s="1">
        <f t="shared" si="18"/>
        <v>0</v>
      </c>
      <c r="R25" s="1">
        <f t="shared" si="6"/>
      </c>
      <c r="S25" s="1">
        <f t="shared" si="7"/>
      </c>
      <c r="T25" s="1">
        <f t="shared" si="8"/>
      </c>
      <c r="U25" s="1">
        <f t="shared" si="9"/>
      </c>
      <c r="V25" s="1">
        <f t="shared" si="10"/>
      </c>
      <c r="W25" s="1">
        <f t="shared" si="11"/>
        <v>0</v>
      </c>
      <c r="X25" s="1">
        <f t="shared" si="12"/>
      </c>
      <c r="Y25" s="1">
        <f t="shared" si="13"/>
      </c>
      <c r="Z25" s="1">
        <f t="shared" si="14"/>
      </c>
      <c r="AA25" s="1">
        <f t="shared" si="15"/>
      </c>
      <c r="AB25" s="1">
        <f t="shared" si="16"/>
      </c>
      <c r="AE25" s="1" t="str">
        <f t="shared" si="24"/>
        <v>KC Wetter</v>
      </c>
      <c r="AF25" s="1">
        <f t="shared" si="19"/>
        <v>0</v>
      </c>
      <c r="AG25" s="1">
        <f t="shared" si="20"/>
        <v>0</v>
      </c>
      <c r="AH25" s="1">
        <f t="shared" si="21"/>
        <v>3</v>
      </c>
      <c r="AI25" s="1">
        <f t="shared" si="22"/>
        <v>8</v>
      </c>
      <c r="AJ25" s="1">
        <f t="shared" si="23"/>
        <v>23</v>
      </c>
    </row>
    <row r="26" spans="1:36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 t="str">
        <f t="shared" si="5"/>
        <v>na</v>
      </c>
      <c r="Q26" s="1">
        <f t="shared" si="18"/>
        <v>0</v>
      </c>
      <c r="R26" s="1">
        <f t="shared" si="6"/>
      </c>
      <c r="S26" s="1">
        <f t="shared" si="7"/>
      </c>
      <c r="T26" s="1">
        <f t="shared" si="8"/>
      </c>
      <c r="U26" s="1">
        <f t="shared" si="9"/>
      </c>
      <c r="V26" s="1">
        <f t="shared" si="10"/>
      </c>
      <c r="W26" s="1">
        <f t="shared" si="11"/>
        <v>0</v>
      </c>
      <c r="X26" s="1">
        <f t="shared" si="12"/>
      </c>
      <c r="Y26" s="1">
        <f t="shared" si="13"/>
      </c>
      <c r="Z26" s="1">
        <f t="shared" si="14"/>
      </c>
      <c r="AA26" s="1">
        <f t="shared" si="15"/>
      </c>
      <c r="AB26" s="1">
        <f t="shared" si="16"/>
      </c>
      <c r="AE26" s="1" t="str">
        <f t="shared" si="24"/>
        <v>KGW Essen</v>
      </c>
      <c r="AF26" s="1">
        <f t="shared" si="19"/>
        <v>0</v>
      </c>
      <c r="AG26" s="1">
        <f t="shared" si="20"/>
        <v>2</v>
      </c>
      <c r="AH26" s="1">
        <f t="shared" si="21"/>
        <v>2</v>
      </c>
      <c r="AI26" s="1">
        <f t="shared" si="22"/>
        <v>8</v>
      </c>
      <c r="AJ26" s="1">
        <f t="shared" si="23"/>
        <v>11</v>
      </c>
    </row>
    <row r="27" spans="1:36" ht="17.25">
      <c r="A27" s="347" t="str">
        <f>TEXT(Saisondaten!$B$8,"[$-F800]TTTT, MMMM TT, JJJJ")</f>
        <v>Samstag, 5. Mai 2018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P27" s="1" t="str">
        <f t="shared" si="5"/>
        <v>na</v>
      </c>
      <c r="Q27" s="1">
        <f t="shared" si="18"/>
        <v>0</v>
      </c>
      <c r="R27" s="1">
        <f t="shared" si="6"/>
      </c>
      <c r="S27" s="1">
        <f t="shared" si="7"/>
      </c>
      <c r="T27" s="1">
        <f t="shared" si="8"/>
      </c>
      <c r="U27" s="1">
        <f t="shared" si="9"/>
      </c>
      <c r="V27" s="1">
        <f t="shared" si="10"/>
      </c>
      <c r="W27" s="1">
        <f t="shared" si="11"/>
        <v>0</v>
      </c>
      <c r="X27" s="1">
        <f t="shared" si="12"/>
      </c>
      <c r="Y27" s="1">
        <f t="shared" si="13"/>
      </c>
      <c r="Z27" s="1">
        <f t="shared" si="14"/>
      </c>
      <c r="AA27" s="1">
        <f t="shared" si="15"/>
      </c>
      <c r="AB27" s="1">
        <f t="shared" si="16"/>
      </c>
      <c r="AE27" s="1" t="str">
        <f t="shared" si="24"/>
        <v>Göttinger PC</v>
      </c>
      <c r="AF27" s="1">
        <f t="shared" si="19"/>
        <v>0</v>
      </c>
      <c r="AG27" s="1">
        <f t="shared" si="20"/>
        <v>1</v>
      </c>
      <c r="AH27" s="1">
        <f t="shared" si="21"/>
        <v>4</v>
      </c>
      <c r="AI27" s="1">
        <f t="shared" si="22"/>
        <v>8</v>
      </c>
      <c r="AJ27" s="1">
        <f t="shared" si="23"/>
        <v>21</v>
      </c>
    </row>
    <row r="28" spans="1:36" ht="16.5">
      <c r="A28" s="10" t="s">
        <v>38</v>
      </c>
      <c r="B28" s="10"/>
      <c r="C28" s="10" t="s">
        <v>39</v>
      </c>
      <c r="D28" s="10" t="s">
        <v>40</v>
      </c>
      <c r="E28" s="10" t="s">
        <v>8</v>
      </c>
      <c r="F28" s="348" t="s">
        <v>7</v>
      </c>
      <c r="G28" s="348"/>
      <c r="H28" s="348"/>
      <c r="I28" s="348" t="s">
        <v>41</v>
      </c>
      <c r="J28" s="348"/>
      <c r="K28" s="348"/>
      <c r="L28" s="348" t="s">
        <v>26</v>
      </c>
      <c r="M28" s="348"/>
      <c r="N28" s="348"/>
      <c r="P28" s="1" t="str">
        <f t="shared" si="5"/>
        <v>na</v>
      </c>
      <c r="Q28" s="1" t="str">
        <f t="shared" si="18"/>
        <v>Mannschaften</v>
      </c>
      <c r="R28" s="1">
        <f t="shared" si="6"/>
      </c>
      <c r="S28" s="1">
        <f t="shared" si="7"/>
      </c>
      <c r="T28" s="1">
        <f t="shared" si="8"/>
      </c>
      <c r="U28" s="1">
        <f t="shared" si="9"/>
      </c>
      <c r="V28" s="1">
        <f t="shared" si="10"/>
      </c>
      <c r="W28" s="1">
        <f t="shared" si="11"/>
        <v>0</v>
      </c>
      <c r="X28" s="1">
        <f t="shared" si="12"/>
      </c>
      <c r="Y28" s="1">
        <f t="shared" si="13"/>
      </c>
      <c r="Z28" s="1">
        <f t="shared" si="14"/>
      </c>
      <c r="AA28" s="1">
        <f t="shared" si="15"/>
      </c>
      <c r="AB28" s="1">
        <f t="shared" si="16"/>
      </c>
      <c r="AE28" s="1" t="str">
        <f t="shared" si="24"/>
        <v>ACC Hamburg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1">
        <f t="shared" si="22"/>
        <v>0</v>
      </c>
      <c r="AJ28" s="1">
        <f t="shared" si="23"/>
        <v>0</v>
      </c>
    </row>
    <row r="29" spans="1:36" ht="16.5">
      <c r="A29" s="11">
        <f>A23+1</f>
        <v>16</v>
      </c>
      <c r="B29" s="11" t="s">
        <v>27</v>
      </c>
      <c r="C29" s="11">
        <v>1</v>
      </c>
      <c r="D29" s="12">
        <v>0.4166666666666667</v>
      </c>
      <c r="E29" s="11" t="s">
        <v>10</v>
      </c>
      <c r="F29" s="11" t="str">
        <f>Saisondaten!$C$18</f>
        <v>ACC Hamburg</v>
      </c>
      <c r="G29" s="11" t="s">
        <v>43</v>
      </c>
      <c r="H29" s="11" t="str">
        <f>Saisondaten!$C$22</f>
        <v>KSV Glauchau</v>
      </c>
      <c r="I29" s="19">
        <v>3</v>
      </c>
      <c r="J29" s="11" t="s">
        <v>43</v>
      </c>
      <c r="K29" s="19">
        <v>1</v>
      </c>
      <c r="L29" s="178" t="str">
        <f>IF(VLOOKUP(A29,Schiedsrichter!$A$3:$I$176,8,FALSE)=0,"-",VLOOKUP(A29,Schiedsrichter!$A$3:$I$176,8,FALSE))</f>
        <v>KCNW Berlin</v>
      </c>
      <c r="M29" s="172" t="s">
        <v>249</v>
      </c>
      <c r="N29" s="184" t="str">
        <f>IF(VLOOKUP(A29,Schiedsrichter!$A$3:$I$176,9,FALSE)=0,"-",VLOOKUP(A29,Schiedsrichter!$A$3:$I$176,9,FALSE))</f>
        <v>VK Berlin</v>
      </c>
      <c r="P29" s="1">
        <f t="shared" si="5"/>
        <v>1</v>
      </c>
      <c r="Q29" s="1" t="str">
        <f t="shared" si="18"/>
        <v>ACC Hamburg</v>
      </c>
      <c r="R29" s="1">
        <f t="shared" si="6"/>
        <v>1</v>
      </c>
      <c r="S29" s="1">
        <f t="shared" si="7"/>
        <v>0</v>
      </c>
      <c r="T29" s="1">
        <f t="shared" si="8"/>
        <v>0</v>
      </c>
      <c r="U29" s="1">
        <f t="shared" si="9"/>
        <v>3</v>
      </c>
      <c r="V29" s="1">
        <f t="shared" si="10"/>
        <v>1</v>
      </c>
      <c r="W29" s="1" t="str">
        <f t="shared" si="11"/>
        <v>KSV Glauchau</v>
      </c>
      <c r="X29" s="1">
        <f t="shared" si="12"/>
        <v>0</v>
      </c>
      <c r="Y29" s="1">
        <f t="shared" si="13"/>
        <v>0</v>
      </c>
      <c r="Z29" s="1">
        <f t="shared" si="14"/>
        <v>1</v>
      </c>
      <c r="AA29" s="1">
        <f t="shared" si="15"/>
        <v>1</v>
      </c>
      <c r="AB29" s="1">
        <f t="shared" si="16"/>
        <v>3</v>
      </c>
      <c r="AE29" s="1" t="str">
        <f t="shared" si="24"/>
        <v>KCNW Berlin</v>
      </c>
      <c r="AF29" s="1">
        <f t="shared" si="19"/>
        <v>0</v>
      </c>
      <c r="AG29" s="1">
        <f t="shared" si="20"/>
        <v>0</v>
      </c>
      <c r="AH29" s="1">
        <f t="shared" si="21"/>
        <v>1</v>
      </c>
      <c r="AI29" s="1">
        <f t="shared" si="22"/>
        <v>3</v>
      </c>
      <c r="AJ29" s="1">
        <f t="shared" si="23"/>
        <v>4</v>
      </c>
    </row>
    <row r="30" spans="1:36" ht="16.5">
      <c r="A30" s="13">
        <f aca="true" t="shared" si="25" ref="A30:A37">A29+1</f>
        <v>17</v>
      </c>
      <c r="B30" s="13" t="s">
        <v>27</v>
      </c>
      <c r="C30" s="13">
        <v>1</v>
      </c>
      <c r="D30" s="14">
        <v>0.4479166666666667</v>
      </c>
      <c r="E30" s="13" t="s">
        <v>10</v>
      </c>
      <c r="F30" s="13" t="str">
        <f>Saisondaten!$C$20</f>
        <v>RSV Hannover</v>
      </c>
      <c r="G30" s="13" t="s">
        <v>43</v>
      </c>
      <c r="H30" s="13" t="str">
        <f>Saisondaten!$C$23</f>
        <v>KSVH Berlin</v>
      </c>
      <c r="I30" s="20">
        <v>4</v>
      </c>
      <c r="J30" s="13" t="s">
        <v>43</v>
      </c>
      <c r="K30" s="20">
        <v>5</v>
      </c>
      <c r="L30" s="179" t="str">
        <f>IF(VLOOKUP(A30,Schiedsrichter!$A$3:$I$176,8,FALSE)=0,"-",VLOOKUP(A30,Schiedsrichter!$A$3:$I$176,8,FALSE))</f>
        <v>KSV Glauchau</v>
      </c>
      <c r="M30" s="173" t="s">
        <v>249</v>
      </c>
      <c r="N30" s="185" t="str">
        <f>IF(VLOOKUP(A30,Schiedsrichter!$A$3:$I$176,9,FALSE)=0,"-",VLOOKUP(A30,Schiedsrichter!$A$3:$I$176,9,FALSE))</f>
        <v>ACC Hamburg</v>
      </c>
      <c r="P30" s="1">
        <f t="shared" si="5"/>
        <v>1</v>
      </c>
      <c r="Q30" s="1" t="str">
        <f t="shared" si="18"/>
        <v>RSV Hannover</v>
      </c>
      <c r="R30" s="1">
        <f t="shared" si="6"/>
        <v>0</v>
      </c>
      <c r="S30" s="1">
        <f t="shared" si="7"/>
        <v>0</v>
      </c>
      <c r="T30" s="1">
        <f t="shared" si="8"/>
        <v>1</v>
      </c>
      <c r="U30" s="1">
        <f t="shared" si="9"/>
        <v>4</v>
      </c>
      <c r="V30" s="1">
        <f t="shared" si="10"/>
        <v>5</v>
      </c>
      <c r="W30" s="1" t="str">
        <f t="shared" si="11"/>
        <v>KSVH Berlin</v>
      </c>
      <c r="X30" s="1">
        <f t="shared" si="12"/>
        <v>1</v>
      </c>
      <c r="Y30" s="1">
        <f t="shared" si="13"/>
        <v>0</v>
      </c>
      <c r="Z30" s="1">
        <f t="shared" si="14"/>
        <v>0</v>
      </c>
      <c r="AA30" s="1">
        <f t="shared" si="15"/>
        <v>5</v>
      </c>
      <c r="AB30" s="1">
        <f t="shared" si="16"/>
        <v>4</v>
      </c>
      <c r="AE30" s="1" t="str">
        <f t="shared" si="24"/>
        <v>RSV Hannover</v>
      </c>
      <c r="AF30" s="1">
        <f t="shared" si="19"/>
        <v>2</v>
      </c>
      <c r="AG30" s="1">
        <f t="shared" si="20"/>
        <v>0</v>
      </c>
      <c r="AH30" s="1">
        <f t="shared" si="21"/>
        <v>0</v>
      </c>
      <c r="AI30" s="1">
        <f t="shared" si="22"/>
        <v>7</v>
      </c>
      <c r="AJ30" s="1">
        <f t="shared" si="23"/>
        <v>1</v>
      </c>
    </row>
    <row r="31" spans="1:36" ht="16.5">
      <c r="A31" s="3">
        <f t="shared" si="25"/>
        <v>18</v>
      </c>
      <c r="B31" s="3" t="s">
        <v>27</v>
      </c>
      <c r="C31" s="3">
        <v>1</v>
      </c>
      <c r="D31" s="4">
        <v>0.4791666666666667</v>
      </c>
      <c r="E31" s="3" t="s">
        <v>10</v>
      </c>
      <c r="F31" s="3" t="str">
        <f>Saisondaten!$C$19</f>
        <v>KCNW Berlin</v>
      </c>
      <c r="G31" s="3" t="s">
        <v>43</v>
      </c>
      <c r="H31" s="3" t="str">
        <f>Saisondaten!$C$21</f>
        <v>VK Berlin</v>
      </c>
      <c r="I31" s="21">
        <v>2</v>
      </c>
      <c r="J31" s="3" t="s">
        <v>43</v>
      </c>
      <c r="K31" s="21">
        <v>1</v>
      </c>
      <c r="L31" s="180" t="str">
        <f>IF(VLOOKUP(A31,Schiedsrichter!$A$3:$I$176,8,FALSE)=0,"-",VLOOKUP(A31,Schiedsrichter!$A$3:$I$176,8,FALSE))</f>
        <v>RSV Hannover</v>
      </c>
      <c r="M31" s="174" t="s">
        <v>249</v>
      </c>
      <c r="N31" s="186" t="str">
        <f>IF(VLOOKUP(A31,Schiedsrichter!$A$3:$I$176,9,FALSE)=0,"-",VLOOKUP(A31,Schiedsrichter!$A$3:$I$176,9,FALSE))</f>
        <v>KSVH Berlin</v>
      </c>
      <c r="P31" s="1">
        <f t="shared" si="5"/>
        <v>1</v>
      </c>
      <c r="Q31" s="1" t="str">
        <f t="shared" si="18"/>
        <v>KCNW Berlin</v>
      </c>
      <c r="R31" s="1">
        <f t="shared" si="6"/>
        <v>1</v>
      </c>
      <c r="S31" s="1">
        <f t="shared" si="7"/>
        <v>0</v>
      </c>
      <c r="T31" s="1">
        <f t="shared" si="8"/>
        <v>0</v>
      </c>
      <c r="U31" s="1">
        <f t="shared" si="9"/>
        <v>2</v>
      </c>
      <c r="V31" s="1">
        <f t="shared" si="10"/>
        <v>1</v>
      </c>
      <c r="W31" s="1" t="str">
        <f t="shared" si="11"/>
        <v>VK Berlin</v>
      </c>
      <c r="X31" s="1">
        <f t="shared" si="12"/>
        <v>0</v>
      </c>
      <c r="Y31" s="1">
        <f t="shared" si="13"/>
        <v>0</v>
      </c>
      <c r="Z31" s="1">
        <f t="shared" si="14"/>
        <v>1</v>
      </c>
      <c r="AA31" s="1">
        <f t="shared" si="15"/>
        <v>1</v>
      </c>
      <c r="AB31" s="1">
        <f t="shared" si="16"/>
        <v>2</v>
      </c>
      <c r="AE31" s="1" t="str">
        <f t="shared" si="24"/>
        <v>VK Berlin</v>
      </c>
      <c r="AF31" s="1">
        <f t="shared" si="19"/>
        <v>0</v>
      </c>
      <c r="AG31" s="1">
        <f t="shared" si="20"/>
        <v>1</v>
      </c>
      <c r="AH31" s="1">
        <f t="shared" si="21"/>
        <v>2</v>
      </c>
      <c r="AI31" s="1">
        <f t="shared" si="22"/>
        <v>6</v>
      </c>
      <c r="AJ31" s="1">
        <f t="shared" si="23"/>
        <v>9</v>
      </c>
    </row>
    <row r="32" spans="1:36" ht="16.5">
      <c r="A32" s="13">
        <f t="shared" si="25"/>
        <v>19</v>
      </c>
      <c r="B32" s="13" t="s">
        <v>27</v>
      </c>
      <c r="C32" s="13">
        <v>1</v>
      </c>
      <c r="D32" s="14">
        <v>0.53125</v>
      </c>
      <c r="E32" s="13" t="s">
        <v>10</v>
      </c>
      <c r="F32" s="13" t="str">
        <f>Saisondaten!$C$20</f>
        <v>RSV Hannover</v>
      </c>
      <c r="G32" s="13" t="s">
        <v>43</v>
      </c>
      <c r="H32" s="13" t="str">
        <f>Saisondaten!$C$22</f>
        <v>KSV Glauchau</v>
      </c>
      <c r="I32" s="20">
        <v>6</v>
      </c>
      <c r="J32" s="13" t="s">
        <v>43</v>
      </c>
      <c r="K32" s="20">
        <v>0</v>
      </c>
      <c r="L32" s="179" t="str">
        <f>IF(VLOOKUP(A32,Schiedsrichter!$A$3:$I$176,8,FALSE)=0,"-",VLOOKUP(A32,Schiedsrichter!$A$3:$I$176,8,FALSE))</f>
        <v>KSVH Berlin</v>
      </c>
      <c r="M32" s="173" t="s">
        <v>249</v>
      </c>
      <c r="N32" s="185" t="str">
        <f>IF(VLOOKUP(A32,Schiedsrichter!$A$3:$I$176,9,FALSE)=0,"-",VLOOKUP(A32,Schiedsrichter!$A$3:$I$176,9,FALSE))</f>
        <v>KCNW Berlin</v>
      </c>
      <c r="P32" s="1">
        <f t="shared" si="5"/>
        <v>1</v>
      </c>
      <c r="Q32" s="1" t="str">
        <f t="shared" si="18"/>
        <v>RSV Hannover</v>
      </c>
      <c r="R32" s="1">
        <f t="shared" si="6"/>
        <v>1</v>
      </c>
      <c r="S32" s="1">
        <f t="shared" si="7"/>
        <v>0</v>
      </c>
      <c r="T32" s="1">
        <f t="shared" si="8"/>
        <v>0</v>
      </c>
      <c r="U32" s="1">
        <f t="shared" si="9"/>
        <v>6</v>
      </c>
      <c r="V32" s="1">
        <f t="shared" si="10"/>
        <v>0</v>
      </c>
      <c r="W32" s="1" t="str">
        <f t="shared" si="11"/>
        <v>KSV Glauchau</v>
      </c>
      <c r="X32" s="1">
        <f t="shared" si="12"/>
        <v>0</v>
      </c>
      <c r="Y32" s="1">
        <f t="shared" si="13"/>
        <v>0</v>
      </c>
      <c r="Z32" s="1">
        <f t="shared" si="14"/>
        <v>1</v>
      </c>
      <c r="AA32" s="1">
        <f t="shared" si="15"/>
        <v>0</v>
      </c>
      <c r="AB32" s="1">
        <f t="shared" si="16"/>
        <v>6</v>
      </c>
      <c r="AE32" s="1" t="str">
        <f t="shared" si="24"/>
        <v>KSV Glauchau</v>
      </c>
      <c r="AF32" s="1">
        <f t="shared" si="19"/>
        <v>0</v>
      </c>
      <c r="AG32" s="1">
        <f t="shared" si="20"/>
        <v>1</v>
      </c>
      <c r="AH32" s="1">
        <f t="shared" si="21"/>
        <v>3</v>
      </c>
      <c r="AI32" s="1">
        <f t="shared" si="22"/>
        <v>7</v>
      </c>
      <c r="AJ32" s="1">
        <f t="shared" si="23"/>
        <v>19</v>
      </c>
    </row>
    <row r="33" spans="1:36" ht="16.5">
      <c r="A33" s="3">
        <f t="shared" si="25"/>
        <v>20</v>
      </c>
      <c r="B33" s="3" t="s">
        <v>27</v>
      </c>
      <c r="C33" s="3">
        <v>1</v>
      </c>
      <c r="D33" s="4">
        <v>0.5625</v>
      </c>
      <c r="E33" s="3" t="s">
        <v>10</v>
      </c>
      <c r="F33" s="3" t="str">
        <f>Saisondaten!$C$18</f>
        <v>ACC Hamburg</v>
      </c>
      <c r="G33" s="3" t="s">
        <v>43</v>
      </c>
      <c r="H33" s="3" t="str">
        <f>Saisondaten!$C$21</f>
        <v>VK Berlin</v>
      </c>
      <c r="I33" s="21">
        <v>4</v>
      </c>
      <c r="J33" s="3" t="s">
        <v>43</v>
      </c>
      <c r="K33" s="21">
        <v>4</v>
      </c>
      <c r="L33" s="180" t="str">
        <f>IF(VLOOKUP(A33,Schiedsrichter!$A$3:$I$176,8,FALSE)=0,"-",VLOOKUP(A33,Schiedsrichter!$A$3:$I$176,8,FALSE))</f>
        <v>RSV Hannover</v>
      </c>
      <c r="M33" s="174" t="s">
        <v>249</v>
      </c>
      <c r="N33" s="186" t="str">
        <f>IF(VLOOKUP(A33,Schiedsrichter!$A$3:$I$176,9,FALSE)=0,"-",VLOOKUP(A33,Schiedsrichter!$A$3:$I$176,9,FALSE))</f>
        <v>KSV Glauchau</v>
      </c>
      <c r="P33" s="1">
        <f t="shared" si="5"/>
        <v>1</v>
      </c>
      <c r="Q33" s="1" t="str">
        <f t="shared" si="18"/>
        <v>ACC Hamburg</v>
      </c>
      <c r="R33" s="1">
        <f t="shared" si="6"/>
        <v>0</v>
      </c>
      <c r="S33" s="1">
        <f t="shared" si="7"/>
        <v>1</v>
      </c>
      <c r="T33" s="1">
        <f t="shared" si="8"/>
        <v>0</v>
      </c>
      <c r="U33" s="1">
        <f t="shared" si="9"/>
        <v>4</v>
      </c>
      <c r="V33" s="1">
        <f t="shared" si="10"/>
        <v>4</v>
      </c>
      <c r="W33" s="1" t="str">
        <f t="shared" si="11"/>
        <v>VK Berlin</v>
      </c>
      <c r="X33" s="1">
        <f t="shared" si="12"/>
        <v>0</v>
      </c>
      <c r="Y33" s="1">
        <f t="shared" si="13"/>
        <v>1</v>
      </c>
      <c r="Z33" s="1">
        <f t="shared" si="14"/>
        <v>0</v>
      </c>
      <c r="AA33" s="1">
        <f t="shared" si="15"/>
        <v>4</v>
      </c>
      <c r="AB33" s="1">
        <f t="shared" si="16"/>
        <v>4</v>
      </c>
      <c r="AE33" s="1" t="str">
        <f t="shared" si="24"/>
        <v>KSVH Berlin</v>
      </c>
      <c r="AF33" s="1">
        <f t="shared" si="19"/>
        <v>4</v>
      </c>
      <c r="AG33" s="1">
        <f t="shared" si="20"/>
        <v>0</v>
      </c>
      <c r="AH33" s="1">
        <f t="shared" si="21"/>
        <v>1</v>
      </c>
      <c r="AI33" s="1">
        <f t="shared" si="22"/>
        <v>22</v>
      </c>
      <c r="AJ33" s="1">
        <f t="shared" si="23"/>
        <v>17</v>
      </c>
    </row>
    <row r="34" spans="1:28" ht="16.5">
      <c r="A34" s="13">
        <f t="shared" si="25"/>
        <v>21</v>
      </c>
      <c r="B34" s="13" t="s">
        <v>27</v>
      </c>
      <c r="C34" s="13">
        <v>1</v>
      </c>
      <c r="D34" s="14">
        <v>0.59375</v>
      </c>
      <c r="E34" s="13" t="s">
        <v>10</v>
      </c>
      <c r="F34" s="13" t="str">
        <f>Saisondaten!$C$19</f>
        <v>KCNW Berlin</v>
      </c>
      <c r="G34" s="13" t="s">
        <v>43</v>
      </c>
      <c r="H34" s="13" t="str">
        <f>Saisondaten!$C$23</f>
        <v>KSVH Berlin</v>
      </c>
      <c r="I34" s="20">
        <v>4</v>
      </c>
      <c r="J34" s="13" t="s">
        <v>43</v>
      </c>
      <c r="K34" s="20">
        <v>3</v>
      </c>
      <c r="L34" s="179" t="str">
        <f>IF(VLOOKUP(A34,Schiedsrichter!$A$3:$I$176,8,FALSE)=0,"-",VLOOKUP(A34,Schiedsrichter!$A$3:$I$176,8,FALSE))</f>
        <v>KSV Glauchau</v>
      </c>
      <c r="M34" s="173" t="s">
        <v>249</v>
      </c>
      <c r="N34" s="185" t="str">
        <f>IF(VLOOKUP(A34,Schiedsrichter!$A$3:$I$176,9,FALSE)=0,"-",VLOOKUP(A34,Schiedsrichter!$A$3:$I$176,9,FALSE))</f>
        <v>VK Berlin</v>
      </c>
      <c r="P34" s="1">
        <f t="shared" si="5"/>
        <v>1</v>
      </c>
      <c r="Q34" s="1" t="str">
        <f t="shared" si="18"/>
        <v>KCNW Berlin</v>
      </c>
      <c r="R34" s="1">
        <f t="shared" si="6"/>
        <v>1</v>
      </c>
      <c r="S34" s="1">
        <f t="shared" si="7"/>
        <v>0</v>
      </c>
      <c r="T34" s="1">
        <f t="shared" si="8"/>
        <v>0</v>
      </c>
      <c r="U34" s="1">
        <f t="shared" si="9"/>
        <v>4</v>
      </c>
      <c r="V34" s="1">
        <f t="shared" si="10"/>
        <v>3</v>
      </c>
      <c r="W34" s="1" t="str">
        <f t="shared" si="11"/>
        <v>KSVH Berlin</v>
      </c>
      <c r="X34" s="1">
        <f t="shared" si="12"/>
        <v>0</v>
      </c>
      <c r="Y34" s="1">
        <f t="shared" si="13"/>
        <v>0</v>
      </c>
      <c r="Z34" s="1">
        <f t="shared" si="14"/>
        <v>1</v>
      </c>
      <c r="AA34" s="1">
        <f t="shared" si="15"/>
        <v>3</v>
      </c>
      <c r="AB34" s="1">
        <f t="shared" si="16"/>
        <v>4</v>
      </c>
    </row>
    <row r="35" spans="1:28" ht="16.5">
      <c r="A35" s="3">
        <f t="shared" si="25"/>
        <v>22</v>
      </c>
      <c r="B35" s="3" t="s">
        <v>27</v>
      </c>
      <c r="C35" s="3">
        <v>1</v>
      </c>
      <c r="D35" s="4">
        <v>0.6458333333333334</v>
      </c>
      <c r="E35" s="3" t="s">
        <v>10</v>
      </c>
      <c r="F35" s="3" t="str">
        <f>Saisondaten!$C$18</f>
        <v>ACC Hamburg</v>
      </c>
      <c r="G35" s="3" t="s">
        <v>43</v>
      </c>
      <c r="H35" s="3" t="str">
        <f>Saisondaten!$C$20</f>
        <v>RSV Hannover</v>
      </c>
      <c r="I35" s="21">
        <v>0</v>
      </c>
      <c r="J35" s="3" t="s">
        <v>43</v>
      </c>
      <c r="K35" s="21">
        <v>4</v>
      </c>
      <c r="L35" s="180" t="str">
        <f>IF(VLOOKUP(A35,Schiedsrichter!$A$3:$I$176,8,FALSE)=0,"-",VLOOKUP(A35,Schiedsrichter!$A$3:$I$176,8,FALSE))</f>
        <v>VK Berlin</v>
      </c>
      <c r="M35" s="174" t="s">
        <v>249</v>
      </c>
      <c r="N35" s="186" t="str">
        <f>IF(VLOOKUP(A35,Schiedsrichter!$A$3:$I$176,9,FALSE)=0,"-",VLOOKUP(A35,Schiedsrichter!$A$3:$I$176,9,FALSE))</f>
        <v>KSVH Berlin</v>
      </c>
      <c r="P35" s="1">
        <f t="shared" si="5"/>
        <v>1</v>
      </c>
      <c r="Q35" s="1" t="str">
        <f t="shared" si="18"/>
        <v>ACC Hamburg</v>
      </c>
      <c r="R35" s="1">
        <f t="shared" si="6"/>
        <v>0</v>
      </c>
      <c r="S35" s="1">
        <f t="shared" si="7"/>
        <v>0</v>
      </c>
      <c r="T35" s="1">
        <f t="shared" si="8"/>
        <v>1</v>
      </c>
      <c r="U35" s="1">
        <f t="shared" si="9"/>
        <v>0</v>
      </c>
      <c r="V35" s="1">
        <f t="shared" si="10"/>
        <v>4</v>
      </c>
      <c r="W35" s="1" t="str">
        <f t="shared" si="11"/>
        <v>RSV Hannover</v>
      </c>
      <c r="X35" s="1">
        <f t="shared" si="12"/>
        <v>1</v>
      </c>
      <c r="Y35" s="1">
        <f t="shared" si="13"/>
        <v>0</v>
      </c>
      <c r="Z35" s="1">
        <f t="shared" si="14"/>
        <v>0</v>
      </c>
      <c r="AA35" s="1">
        <f t="shared" si="15"/>
        <v>4</v>
      </c>
      <c r="AB35" s="1">
        <f t="shared" si="16"/>
        <v>0</v>
      </c>
    </row>
    <row r="36" spans="1:28" ht="16.5">
      <c r="A36" s="13">
        <f t="shared" si="25"/>
        <v>23</v>
      </c>
      <c r="B36" s="13" t="s">
        <v>27</v>
      </c>
      <c r="C36" s="13">
        <v>1</v>
      </c>
      <c r="D36" s="14">
        <v>0.6770833333333334</v>
      </c>
      <c r="E36" s="13" t="s">
        <v>10</v>
      </c>
      <c r="F36" s="13" t="str">
        <f>Saisondaten!$C$19</f>
        <v>KCNW Berlin</v>
      </c>
      <c r="G36" s="13" t="s">
        <v>43</v>
      </c>
      <c r="H36" s="13" t="str">
        <f>Saisondaten!$C$22</f>
        <v>KSV Glauchau</v>
      </c>
      <c r="I36" s="20">
        <v>5</v>
      </c>
      <c r="J36" s="13" t="s">
        <v>43</v>
      </c>
      <c r="K36" s="20">
        <v>1</v>
      </c>
      <c r="L36" s="179" t="str">
        <f>IF(VLOOKUP(A36,Schiedsrichter!$A$3:$I$176,8,FALSE)=0,"-",VLOOKUP(A36,Schiedsrichter!$A$3:$I$176,8,FALSE))</f>
        <v>ACC Hamburg</v>
      </c>
      <c r="M36" s="173" t="s">
        <v>249</v>
      </c>
      <c r="N36" s="185" t="str">
        <f>IF(VLOOKUP(A36,Schiedsrichter!$A$3:$I$176,9,FALSE)=0,"-",VLOOKUP(A36,Schiedsrichter!$A$3:$I$176,9,FALSE))</f>
        <v>RSV Hannover</v>
      </c>
      <c r="P36" s="1">
        <f t="shared" si="5"/>
        <v>1</v>
      </c>
      <c r="Q36" s="1" t="str">
        <f t="shared" si="18"/>
        <v>KCNW Berlin</v>
      </c>
      <c r="R36" s="1">
        <f t="shared" si="6"/>
        <v>1</v>
      </c>
      <c r="S36" s="1">
        <f t="shared" si="7"/>
        <v>0</v>
      </c>
      <c r="T36" s="1">
        <f t="shared" si="8"/>
        <v>0</v>
      </c>
      <c r="U36" s="1">
        <f t="shared" si="9"/>
        <v>5</v>
      </c>
      <c r="V36" s="1">
        <f t="shared" si="10"/>
        <v>1</v>
      </c>
      <c r="W36" s="1" t="str">
        <f t="shared" si="11"/>
        <v>KSV Glauchau</v>
      </c>
      <c r="X36" s="1">
        <f t="shared" si="12"/>
        <v>0</v>
      </c>
      <c r="Y36" s="1">
        <f t="shared" si="13"/>
        <v>0</v>
      </c>
      <c r="Z36" s="1">
        <f t="shared" si="14"/>
        <v>1</v>
      </c>
      <c r="AA36" s="1">
        <f t="shared" si="15"/>
        <v>1</v>
      </c>
      <c r="AB36" s="1">
        <f t="shared" si="16"/>
        <v>5</v>
      </c>
    </row>
    <row r="37" spans="1:28" ht="16.5">
      <c r="A37" s="3">
        <f t="shared" si="25"/>
        <v>24</v>
      </c>
      <c r="B37" s="3" t="s">
        <v>27</v>
      </c>
      <c r="C37" s="3">
        <v>1</v>
      </c>
      <c r="D37" s="4">
        <v>0.7083333333333334</v>
      </c>
      <c r="E37" s="3" t="s">
        <v>10</v>
      </c>
      <c r="F37" s="3" t="str">
        <f>Saisondaten!$C$21</f>
        <v>VK Berlin</v>
      </c>
      <c r="G37" s="3" t="s">
        <v>43</v>
      </c>
      <c r="H37" s="3" t="str">
        <f>Saisondaten!$C$23</f>
        <v>KSVH Berlin</v>
      </c>
      <c r="I37" s="21">
        <v>3</v>
      </c>
      <c r="J37" s="3" t="s">
        <v>43</v>
      </c>
      <c r="K37" s="21">
        <v>4</v>
      </c>
      <c r="L37" s="180" t="str">
        <f>IF(VLOOKUP(A37,Schiedsrichter!$A$3:$I$176,8,FALSE)=0,"-",VLOOKUP(A37,Schiedsrichter!$A$3:$I$176,8,FALSE))</f>
        <v>ACC Hamburg</v>
      </c>
      <c r="M37" s="174" t="s">
        <v>249</v>
      </c>
      <c r="N37" s="186" t="str">
        <f>IF(VLOOKUP(A37,Schiedsrichter!$A$3:$I$176,9,FALSE)=0,"-",VLOOKUP(A37,Schiedsrichter!$A$3:$I$176,9,FALSE))</f>
        <v>KCNW Berlin</v>
      </c>
      <c r="P37" s="1">
        <f t="shared" si="5"/>
        <v>1</v>
      </c>
      <c r="Q37" s="1" t="str">
        <f t="shared" si="18"/>
        <v>VK Berlin</v>
      </c>
      <c r="R37" s="1">
        <f t="shared" si="6"/>
        <v>0</v>
      </c>
      <c r="S37" s="1">
        <f t="shared" si="7"/>
        <v>0</v>
      </c>
      <c r="T37" s="1">
        <f t="shared" si="8"/>
        <v>1</v>
      </c>
      <c r="U37" s="1">
        <f t="shared" si="9"/>
        <v>3</v>
      </c>
      <c r="V37" s="1">
        <f t="shared" si="10"/>
        <v>4</v>
      </c>
      <c r="W37" s="1" t="str">
        <f t="shared" si="11"/>
        <v>KSVH Berlin</v>
      </c>
      <c r="X37" s="1">
        <f t="shared" si="12"/>
        <v>1</v>
      </c>
      <c r="Y37" s="1">
        <f t="shared" si="13"/>
        <v>0</v>
      </c>
      <c r="Z37" s="1">
        <f t="shared" si="14"/>
        <v>0</v>
      </c>
      <c r="AA37" s="1">
        <f t="shared" si="15"/>
        <v>4</v>
      </c>
      <c r="AB37" s="1">
        <f t="shared" si="16"/>
        <v>3</v>
      </c>
    </row>
    <row r="38" spans="1:28" ht="7.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P38" s="1" t="str">
        <f t="shared" si="5"/>
        <v>na</v>
      </c>
      <c r="Q38" s="1">
        <f t="shared" si="18"/>
        <v>0</v>
      </c>
      <c r="R38" s="1">
        <f t="shared" si="6"/>
      </c>
      <c r="S38" s="1">
        <f t="shared" si="7"/>
      </c>
      <c r="T38" s="1">
        <f t="shared" si="8"/>
      </c>
      <c r="U38" s="1">
        <f t="shared" si="9"/>
      </c>
      <c r="V38" s="1">
        <f t="shared" si="10"/>
      </c>
      <c r="W38" s="1">
        <f t="shared" si="11"/>
        <v>0</v>
      </c>
      <c r="X38" s="1">
        <f t="shared" si="12"/>
      </c>
      <c r="Y38" s="1">
        <f t="shared" si="13"/>
      </c>
      <c r="Z38" s="1">
        <f t="shared" si="14"/>
      </c>
      <c r="AA38" s="1">
        <f t="shared" si="15"/>
      </c>
      <c r="AB38" s="1">
        <f t="shared" si="16"/>
      </c>
    </row>
    <row r="39" spans="1:42" ht="17.25">
      <c r="A39" s="350" t="str">
        <f>TEXT(Saisondaten!$C$8,"[$-F800]TTTT, MMMM TT, JJJJ")</f>
        <v>Sonntag, 6. Mai 2018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P39" s="1" t="str">
        <f t="shared" si="5"/>
        <v>na</v>
      </c>
      <c r="Q39" s="1">
        <f t="shared" si="18"/>
        <v>0</v>
      </c>
      <c r="R39" s="1">
        <f t="shared" si="6"/>
      </c>
      <c r="S39" s="1">
        <f t="shared" si="7"/>
      </c>
      <c r="T39" s="1">
        <f t="shared" si="8"/>
      </c>
      <c r="U39" s="1">
        <f t="shared" si="9"/>
      </c>
      <c r="V39" s="1">
        <f t="shared" si="10"/>
      </c>
      <c r="W39" s="1">
        <f t="shared" si="11"/>
        <v>0</v>
      </c>
      <c r="X39" s="1">
        <f t="shared" si="12"/>
      </c>
      <c r="Y39" s="1">
        <f t="shared" si="13"/>
      </c>
      <c r="Z39" s="1">
        <f t="shared" si="14"/>
      </c>
      <c r="AA39" s="1">
        <f t="shared" si="15"/>
      </c>
      <c r="AB39" s="1">
        <f t="shared" si="16"/>
      </c>
      <c r="AD39" s="1" t="s">
        <v>70</v>
      </c>
      <c r="AE39" s="63" t="s">
        <v>45</v>
      </c>
      <c r="AF39" s="1" t="s">
        <v>8</v>
      </c>
      <c r="AG39" s="1" t="s">
        <v>54</v>
      </c>
      <c r="AH39" s="1" t="s">
        <v>47</v>
      </c>
      <c r="AI39" s="1" t="s">
        <v>53</v>
      </c>
      <c r="AJ39" s="1" t="s">
        <v>50</v>
      </c>
      <c r="AK39" s="1" t="s">
        <v>23</v>
      </c>
      <c r="AL39" s="1" t="s">
        <v>69</v>
      </c>
      <c r="AM39" s="349" t="s">
        <v>71</v>
      </c>
      <c r="AN39" s="349"/>
      <c r="AO39" s="349"/>
      <c r="AP39" s="349"/>
    </row>
    <row r="40" spans="1:73" ht="16.5">
      <c r="A40" s="11">
        <f>A37+1</f>
        <v>25</v>
      </c>
      <c r="B40" s="11" t="s">
        <v>27</v>
      </c>
      <c r="C40" s="11">
        <v>1</v>
      </c>
      <c r="D40" s="12">
        <v>0.4166666666666667</v>
      </c>
      <c r="E40" s="11" t="s">
        <v>10</v>
      </c>
      <c r="F40" s="11" t="str">
        <f>Saisondaten!$C$21</f>
        <v>VK Berlin</v>
      </c>
      <c r="G40" s="11" t="s">
        <v>43</v>
      </c>
      <c r="H40" s="11" t="str">
        <f>Saisondaten!$C$22</f>
        <v>KSV Glauchau</v>
      </c>
      <c r="I40" s="19">
        <v>5</v>
      </c>
      <c r="J40" s="11" t="s">
        <v>43</v>
      </c>
      <c r="K40" s="19">
        <v>5</v>
      </c>
      <c r="L40" s="178" t="str">
        <f>IF(VLOOKUP(A40,Schiedsrichter!$A$3:$I$176,8,FALSE)=0,"-",VLOOKUP(A40,Schiedsrichter!$A$3:$I$176,8,FALSE))</f>
        <v>KCNW Berlin</v>
      </c>
      <c r="M40" s="172" t="s">
        <v>249</v>
      </c>
      <c r="N40" s="184" t="str">
        <f>IF(VLOOKUP(A40,Schiedsrichter!$A$3:$I$176,9,FALSE)=0,"-",VLOOKUP(A40,Schiedsrichter!$A$3:$I$176,9,FALSE))</f>
        <v>RSV Hannover</v>
      </c>
      <c r="P40" s="1">
        <f t="shared" si="5"/>
        <v>1</v>
      </c>
      <c r="Q40" s="1" t="str">
        <f t="shared" si="18"/>
        <v>VK Berlin</v>
      </c>
      <c r="R40" s="1">
        <f t="shared" si="6"/>
        <v>0</v>
      </c>
      <c r="S40" s="1">
        <f t="shared" si="7"/>
        <v>1</v>
      </c>
      <c r="T40" s="1">
        <f t="shared" si="8"/>
        <v>0</v>
      </c>
      <c r="U40" s="1">
        <f t="shared" si="9"/>
        <v>5</v>
      </c>
      <c r="V40" s="1">
        <f t="shared" si="10"/>
        <v>5</v>
      </c>
      <c r="W40" s="1" t="str">
        <f t="shared" si="11"/>
        <v>KSV Glauchau</v>
      </c>
      <c r="X40" s="1">
        <f t="shared" si="12"/>
        <v>0</v>
      </c>
      <c r="Y40" s="1">
        <f t="shared" si="13"/>
        <v>1</v>
      </c>
      <c r="Z40" s="1">
        <f t="shared" si="14"/>
        <v>0</v>
      </c>
      <c r="AA40" s="1">
        <f t="shared" si="15"/>
        <v>5</v>
      </c>
      <c r="AB40" s="1">
        <f t="shared" si="16"/>
        <v>5</v>
      </c>
      <c r="AD40" s="1">
        <f>RANK(BU40,$BU$40:$BU$51,1)</f>
        <v>1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4</v>
      </c>
      <c r="AH40" s="1">
        <f t="shared" si="27"/>
        <v>1</v>
      </c>
      <c r="AI40" s="1">
        <f t="shared" si="27"/>
        <v>0</v>
      </c>
      <c r="AJ40" s="1">
        <f t="shared" si="27"/>
        <v>28</v>
      </c>
      <c r="AK40" s="1">
        <f t="shared" si="27"/>
        <v>9</v>
      </c>
      <c r="AL40" s="1">
        <f>AG40*3+AH40*1</f>
        <v>13</v>
      </c>
      <c r="AM40" s="1">
        <f>AL40*99999999+(AJ40-AK40)*888888+AJ40*7777</f>
        <v>1317106615</v>
      </c>
      <c r="AN40" s="1">
        <f>RANK(AM40,AM$40:AM$51,0)</f>
        <v>1</v>
      </c>
      <c r="AO40" s="1">
        <f>IF(COUNTIF(AN$40:AN40,AN40)&gt;1,1,0)</f>
        <v>0</v>
      </c>
      <c r="AP40" s="1">
        <f>AO40+AM40</f>
        <v>1317106615</v>
      </c>
      <c r="AQ40" s="1">
        <f>RANK(AP40,AP$40:AP$51,0)</f>
        <v>1</v>
      </c>
      <c r="AR40" s="1">
        <f>IF(COUNTIF(AQ$40:AQ40,AQ40)&gt;1,1,0)</f>
        <v>0</v>
      </c>
      <c r="AS40" s="1">
        <f>AR40+AP40</f>
        <v>1317106615</v>
      </c>
      <c r="AT40" s="1">
        <f>RANK(AS40,AS$40:AS$51,0)</f>
        <v>1</v>
      </c>
      <c r="AU40" s="1">
        <f>IF(COUNTIF(AT$40:AT40,AT40)&gt;1,1,0)</f>
        <v>0</v>
      </c>
      <c r="AV40" s="1">
        <f>AU40+AS40</f>
        <v>1317106615</v>
      </c>
      <c r="AW40" s="1">
        <f>RANK(AV40,AV$40:AV$51,0)</f>
        <v>1</v>
      </c>
      <c r="AX40" s="1">
        <f>IF(COUNTIF(AW$40:AW40,AW40)&gt;1,1,0)</f>
        <v>0</v>
      </c>
      <c r="AY40" s="1">
        <f>AX40+AV40</f>
        <v>1317106615</v>
      </c>
      <c r="AZ40" s="1">
        <f>RANK(AY40,AY$40:AY$51,0)</f>
        <v>1</v>
      </c>
      <c r="BA40" s="1">
        <f>IF(COUNTIF(AZ$40:AZ40,AZ40)&gt;1,1,0)</f>
        <v>0</v>
      </c>
      <c r="BB40" s="1">
        <f>BA40+AY40</f>
        <v>1317106615</v>
      </c>
      <c r="BC40" s="1">
        <f>RANK(BB40,BB$40:BB$51,0)</f>
        <v>1</v>
      </c>
      <c r="BD40" s="1">
        <f>IF(COUNTIF(BC$40:BC40,BC40)&gt;1,1,0)</f>
        <v>0</v>
      </c>
      <c r="BE40" s="1">
        <f>BD40+BB40</f>
        <v>1317106615</v>
      </c>
      <c r="BF40" s="1">
        <f>RANK(BE40,BE$40:BE$51,0)</f>
        <v>1</v>
      </c>
      <c r="BG40" s="1">
        <f>IF(COUNTIF(BF$40:BF40,BF40)&gt;1,1,0)</f>
        <v>0</v>
      </c>
      <c r="BH40" s="1">
        <f>BG40+BE40</f>
        <v>1317106615</v>
      </c>
      <c r="BI40" s="1">
        <f>RANK(BH40,BH$40:BH$51,0)</f>
        <v>1</v>
      </c>
      <c r="BJ40" s="1">
        <f>IF(COUNTIF(BI$40:BI40,BI40)&gt;1,1,0)</f>
        <v>0</v>
      </c>
      <c r="BK40" s="1">
        <f>BJ40+BH40</f>
        <v>1317106615</v>
      </c>
      <c r="BL40" s="1">
        <f>RANK(BK40,BK$40:BK$51,0)</f>
        <v>1</v>
      </c>
      <c r="BM40" s="1">
        <f>IF(COUNTIF(BL$40:BL40,BL40)&gt;1,1,0)</f>
        <v>0</v>
      </c>
      <c r="BN40" s="1">
        <f>BM40+BK40</f>
        <v>1317106615</v>
      </c>
      <c r="BO40" s="1">
        <f>RANK(BN40,BN$40:BN$51,0)</f>
        <v>1</v>
      </c>
      <c r="BP40" s="1">
        <f>IF(COUNTIF(BO$40:BO40,BO40)&gt;1,1,0)</f>
        <v>0</v>
      </c>
      <c r="BQ40" s="1">
        <f>BP40+BN40</f>
        <v>1317106615</v>
      </c>
      <c r="BR40" s="1">
        <f>RANK(BQ40,BQ$40:BQ$51,0)</f>
        <v>1</v>
      </c>
      <c r="BS40" s="1">
        <f>IF(COUNTIF(BR$40:BR40,BR40)&gt;1,1,0)</f>
        <v>0</v>
      </c>
      <c r="BT40" s="1">
        <f>BS40+BQ40</f>
        <v>1317106615</v>
      </c>
      <c r="BU40" s="1">
        <f>RANK(BT40,BT$40:BT$51,0)</f>
        <v>1</v>
      </c>
    </row>
    <row r="41" spans="1:73" ht="16.5">
      <c r="A41" s="13">
        <f>A40+1</f>
        <v>26</v>
      </c>
      <c r="B41" s="13" t="s">
        <v>27</v>
      </c>
      <c r="C41" s="13">
        <v>1</v>
      </c>
      <c r="D41" s="14">
        <v>0.4479166666666667</v>
      </c>
      <c r="E41" s="13" t="s">
        <v>10</v>
      </c>
      <c r="F41" s="13" t="str">
        <f>Saisondaten!$C$18</f>
        <v>ACC Hamburg</v>
      </c>
      <c r="G41" s="13" t="s">
        <v>43</v>
      </c>
      <c r="H41" s="13" t="str">
        <f>Saisondaten!$C$23</f>
        <v>KSVH Berlin</v>
      </c>
      <c r="I41" s="20">
        <v>3</v>
      </c>
      <c r="J41" s="13" t="s">
        <v>43</v>
      </c>
      <c r="K41" s="20">
        <v>6</v>
      </c>
      <c r="L41" s="179" t="str">
        <f>IF(VLOOKUP(A41,Schiedsrichter!$A$3:$I$176,8,FALSE)=0,"-",VLOOKUP(A41,Schiedsrichter!$A$3:$I$176,8,FALSE))</f>
        <v>VK Berlin</v>
      </c>
      <c r="M41" s="173" t="s">
        <v>249</v>
      </c>
      <c r="N41" s="185" t="str">
        <f>IF(VLOOKUP(A41,Schiedsrichter!$A$3:$I$176,9,FALSE)=0,"-",VLOOKUP(A41,Schiedsrichter!$A$3:$I$176,9,FALSE))</f>
        <v>KSV Glauchau</v>
      </c>
      <c r="P41" s="1">
        <f t="shared" si="5"/>
        <v>1</v>
      </c>
      <c r="Q41" s="1" t="str">
        <f t="shared" si="18"/>
        <v>ACC Hamburg</v>
      </c>
      <c r="R41" s="1">
        <f t="shared" si="6"/>
        <v>0</v>
      </c>
      <c r="S41" s="1">
        <f t="shared" si="7"/>
        <v>0</v>
      </c>
      <c r="T41" s="1">
        <f t="shared" si="8"/>
        <v>1</v>
      </c>
      <c r="U41" s="1">
        <f t="shared" si="9"/>
        <v>3</v>
      </c>
      <c r="V41" s="1">
        <f t="shared" si="10"/>
        <v>6</v>
      </c>
      <c r="W41" s="1" t="str">
        <f t="shared" si="11"/>
        <v>KSVH Berlin</v>
      </c>
      <c r="X41" s="1">
        <f t="shared" si="12"/>
        <v>1</v>
      </c>
      <c r="Y41" s="1">
        <f t="shared" si="13"/>
        <v>0</v>
      </c>
      <c r="Z41" s="1">
        <f t="shared" si="14"/>
        <v>0</v>
      </c>
      <c r="AA41" s="1">
        <f t="shared" si="15"/>
        <v>6</v>
      </c>
      <c r="AB41" s="1">
        <f t="shared" si="16"/>
        <v>3</v>
      </c>
      <c r="AD41" s="1">
        <f aca="true" t="shared" si="28" ref="AD41:AD51">RANK(BU41,$BU$40:$BU$51,1)</f>
        <v>5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3</v>
      </c>
      <c r="AH41" s="1">
        <f t="shared" si="27"/>
        <v>1</v>
      </c>
      <c r="AI41" s="1">
        <f t="shared" si="27"/>
        <v>1</v>
      </c>
      <c r="AJ41" s="1">
        <f t="shared" si="27"/>
        <v>18</v>
      </c>
      <c r="AK41" s="1">
        <f t="shared" si="27"/>
        <v>16</v>
      </c>
      <c r="AL41" s="1">
        <f aca="true" t="shared" si="29" ref="AL41:AL51">AG41*3+AH41*1</f>
        <v>10</v>
      </c>
      <c r="AM41" s="1">
        <f aca="true" t="shared" si="30" ref="AM41:AM51">AL41*99999999+(AJ41-AK41)*888888+AJ41*7777</f>
        <v>1001917752</v>
      </c>
      <c r="AN41" s="1">
        <f aca="true" t="shared" si="31" ref="AN41:AN51">RANK(AM41,$AM$40:$AM$51,0)</f>
        <v>5</v>
      </c>
      <c r="AO41" s="1">
        <f>IF(COUNTIF(AN$40:AN41,AN41)&gt;1,1,0)</f>
        <v>0</v>
      </c>
      <c r="AP41" s="1">
        <f aca="true" t="shared" si="32" ref="AP41:AP51">AO41+AM41</f>
        <v>1001917752</v>
      </c>
      <c r="AQ41" s="1">
        <f aca="true" t="shared" si="33" ref="AQ41:AQ51">RANK(AP41,AP$40:AP$51,0)</f>
        <v>5</v>
      </c>
      <c r="AR41" s="1">
        <f>IF(COUNTIF(AQ$40:AQ41,AQ41)&gt;1,1,0)</f>
        <v>0</v>
      </c>
      <c r="AS41" s="1">
        <f aca="true" t="shared" si="34" ref="AS41:AS51">AR41+AP41</f>
        <v>1001917752</v>
      </c>
      <c r="AT41" s="1">
        <f aca="true" t="shared" si="35" ref="AT41:AT51">RANK(AS41,AS$40:AS$51,0)</f>
        <v>5</v>
      </c>
      <c r="AU41" s="1">
        <f>IF(COUNTIF(AT$40:AT41,AT41)&gt;1,1,0)</f>
        <v>0</v>
      </c>
      <c r="AV41" s="1">
        <f aca="true" t="shared" si="36" ref="AV41:AV51">AU41+AS41</f>
        <v>1001917752</v>
      </c>
      <c r="AW41" s="1">
        <f aca="true" t="shared" si="37" ref="AW41:AW51">RANK(AV41,AV$40:AV$51,0)</f>
        <v>5</v>
      </c>
      <c r="AX41" s="1">
        <f>IF(COUNTIF(AW$40:AW41,AW41)&gt;1,1,0)</f>
        <v>0</v>
      </c>
      <c r="AY41" s="1">
        <f aca="true" t="shared" si="38" ref="AY41:AY51">AX41+AV41</f>
        <v>1001917752</v>
      </c>
      <c r="AZ41" s="1">
        <f aca="true" t="shared" si="39" ref="AZ41:AZ51">RANK(AY41,AY$40:AY$51,0)</f>
        <v>5</v>
      </c>
      <c r="BA41" s="1">
        <f>IF(COUNTIF(AZ$40:AZ41,AZ41)&gt;1,1,0)</f>
        <v>0</v>
      </c>
      <c r="BB41" s="1">
        <f aca="true" t="shared" si="40" ref="BB41:BB51">BA41+AY41</f>
        <v>1001917752</v>
      </c>
      <c r="BC41" s="1">
        <f aca="true" t="shared" si="41" ref="BC41:BC51">RANK(BB41,BB$40:BB$51,0)</f>
        <v>5</v>
      </c>
      <c r="BD41" s="1">
        <f>IF(COUNTIF(BC$40:BC41,BC41)&gt;1,1,0)</f>
        <v>0</v>
      </c>
      <c r="BE41" s="1">
        <f aca="true" t="shared" si="42" ref="BE41:BE51">BD41+BB41</f>
        <v>1001917752</v>
      </c>
      <c r="BF41" s="1">
        <f aca="true" t="shared" si="43" ref="BF41:BF51">RANK(BE41,BE$40:BE$51,0)</f>
        <v>5</v>
      </c>
      <c r="BG41" s="1">
        <f>IF(COUNTIF(BF$40:BF41,BF41)&gt;1,1,0)</f>
        <v>0</v>
      </c>
      <c r="BH41" s="1">
        <f aca="true" t="shared" si="44" ref="BH41:BH51">BG41+BE41</f>
        <v>1001917752</v>
      </c>
      <c r="BI41" s="1">
        <f aca="true" t="shared" si="45" ref="BI41:BI51">RANK(BH41,BH$40:BH$51,0)</f>
        <v>5</v>
      </c>
      <c r="BJ41" s="1">
        <f>IF(COUNTIF(BI$40:BI41,BI41)&gt;1,1,0)</f>
        <v>0</v>
      </c>
      <c r="BK41" s="1">
        <f aca="true" t="shared" si="46" ref="BK41:BK51">BJ41+BH41</f>
        <v>1001917752</v>
      </c>
      <c r="BL41" s="1">
        <f aca="true" t="shared" si="47" ref="BL41:BL51">RANK(BK41,BK$40:BK$51,0)</f>
        <v>5</v>
      </c>
      <c r="BM41" s="1">
        <f>IF(COUNTIF(BL$40:BL41,BL41)&gt;1,1,0)</f>
        <v>0</v>
      </c>
      <c r="BN41" s="1">
        <f aca="true" t="shared" si="48" ref="BN41:BN51">BM41+BK41</f>
        <v>1001917752</v>
      </c>
      <c r="BO41" s="1">
        <f aca="true" t="shared" si="49" ref="BO41:BO51">RANK(BN41,BN$40:BN$51,0)</f>
        <v>5</v>
      </c>
      <c r="BP41" s="1">
        <f>IF(COUNTIF(BO$40:BO41,BO41)&gt;1,1,0)</f>
        <v>0</v>
      </c>
      <c r="BQ41" s="1">
        <f aca="true" t="shared" si="50" ref="BQ41:BQ51">BP41+BN41</f>
        <v>1001917752</v>
      </c>
      <c r="BR41" s="1">
        <f aca="true" t="shared" si="51" ref="BR41:BR51">RANK(BQ41,BQ$40:BQ$51,0)</f>
        <v>5</v>
      </c>
      <c r="BS41" s="1">
        <f>IF(COUNTIF(BR$40:BR41,BR41)&gt;1,1,0)</f>
        <v>0</v>
      </c>
      <c r="BT41" s="1">
        <f aca="true" t="shared" si="52" ref="BT41:BT51">BS41+BQ41</f>
        <v>1001917752</v>
      </c>
      <c r="BU41" s="1">
        <f aca="true" t="shared" si="53" ref="BU41:BU51">RANK(BT41,BT$40:BT$51,0)</f>
        <v>5</v>
      </c>
    </row>
    <row r="42" spans="1:73" ht="16.5">
      <c r="A42" s="3">
        <f>A41+1</f>
        <v>27</v>
      </c>
      <c r="B42" s="3" t="s">
        <v>27</v>
      </c>
      <c r="C42" s="3">
        <v>1</v>
      </c>
      <c r="D42" s="4">
        <v>0.4791666666666667</v>
      </c>
      <c r="E42" s="3" t="s">
        <v>10</v>
      </c>
      <c r="F42" s="3" t="str">
        <f>Saisondaten!$C$19</f>
        <v>KCNW Berlin</v>
      </c>
      <c r="G42" s="3" t="s">
        <v>43</v>
      </c>
      <c r="H42" s="3" t="str">
        <f>Saisondaten!$C$20</f>
        <v>RSV Hannover</v>
      </c>
      <c r="I42" s="21">
        <v>1</v>
      </c>
      <c r="J42" s="3" t="s">
        <v>43</v>
      </c>
      <c r="K42" s="21">
        <v>3</v>
      </c>
      <c r="L42" s="180" t="str">
        <f>IF(VLOOKUP(A42,Schiedsrichter!$A$3:$I$176,8,FALSE)=0,"-",VLOOKUP(A42,Schiedsrichter!$A$3:$I$176,8,FALSE))</f>
        <v>KSVH Berlin</v>
      </c>
      <c r="M42" s="174" t="s">
        <v>249</v>
      </c>
      <c r="N42" s="186" t="str">
        <f>IF(VLOOKUP(A42,Schiedsrichter!$A$3:$I$176,9,FALSE)=0,"-",VLOOKUP(A42,Schiedsrichter!$A$3:$I$176,9,FALSE))</f>
        <v>ACC Hamburg</v>
      </c>
      <c r="P42" s="1">
        <f t="shared" si="5"/>
        <v>1</v>
      </c>
      <c r="Q42" s="1" t="str">
        <f t="shared" si="18"/>
        <v>KCNW Berlin</v>
      </c>
      <c r="R42" s="1">
        <f t="shared" si="6"/>
        <v>0</v>
      </c>
      <c r="S42" s="1">
        <f t="shared" si="7"/>
        <v>0</v>
      </c>
      <c r="T42" s="1">
        <f t="shared" si="8"/>
        <v>1</v>
      </c>
      <c r="U42" s="1">
        <f t="shared" si="9"/>
        <v>1</v>
      </c>
      <c r="V42" s="1">
        <f t="shared" si="10"/>
        <v>3</v>
      </c>
      <c r="W42" s="1" t="str">
        <f t="shared" si="11"/>
        <v>RSV Hannover</v>
      </c>
      <c r="X42" s="1">
        <f t="shared" si="12"/>
        <v>1</v>
      </c>
      <c r="Y42" s="1">
        <f t="shared" si="13"/>
        <v>0</v>
      </c>
      <c r="Z42" s="1">
        <f t="shared" si="14"/>
        <v>0</v>
      </c>
      <c r="AA42" s="1">
        <f t="shared" si="15"/>
        <v>3</v>
      </c>
      <c r="AB42" s="1">
        <f t="shared" si="16"/>
        <v>1</v>
      </c>
      <c r="AD42" s="1">
        <f t="shared" si="28"/>
        <v>4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3</v>
      </c>
      <c r="AH42" s="1">
        <f t="shared" si="27"/>
        <v>1</v>
      </c>
      <c r="AI42" s="1">
        <f t="shared" si="27"/>
        <v>1</v>
      </c>
      <c r="AJ42" s="1">
        <f t="shared" si="27"/>
        <v>21</v>
      </c>
      <c r="AK42" s="1">
        <f t="shared" si="27"/>
        <v>13</v>
      </c>
      <c r="AL42" s="1">
        <f t="shared" si="29"/>
        <v>10</v>
      </c>
      <c r="AM42" s="1">
        <f t="shared" si="30"/>
        <v>1007274411</v>
      </c>
      <c r="AN42" s="1">
        <f t="shared" si="31"/>
        <v>4</v>
      </c>
      <c r="AO42" s="1">
        <f>IF(COUNTIF(AN$40:AN42,AN42)&gt;1,1,0)</f>
        <v>0</v>
      </c>
      <c r="AP42" s="1">
        <f t="shared" si="32"/>
        <v>1007274411</v>
      </c>
      <c r="AQ42" s="1">
        <f t="shared" si="33"/>
        <v>4</v>
      </c>
      <c r="AR42" s="1">
        <f>IF(COUNTIF(AQ$40:AQ42,AQ42)&gt;1,1,0)</f>
        <v>0</v>
      </c>
      <c r="AS42" s="1">
        <f t="shared" si="34"/>
        <v>1007274411</v>
      </c>
      <c r="AT42" s="1">
        <f t="shared" si="35"/>
        <v>4</v>
      </c>
      <c r="AU42" s="1">
        <f>IF(COUNTIF(AT$40:AT42,AT42)&gt;1,1,0)</f>
        <v>0</v>
      </c>
      <c r="AV42" s="1">
        <f t="shared" si="36"/>
        <v>1007274411</v>
      </c>
      <c r="AW42" s="1">
        <f t="shared" si="37"/>
        <v>4</v>
      </c>
      <c r="AX42" s="1">
        <f>IF(COUNTIF(AW$40:AW42,AW42)&gt;1,1,0)</f>
        <v>0</v>
      </c>
      <c r="AY42" s="1">
        <f t="shared" si="38"/>
        <v>1007274411</v>
      </c>
      <c r="AZ42" s="1">
        <f t="shared" si="39"/>
        <v>4</v>
      </c>
      <c r="BA42" s="1">
        <f>IF(COUNTIF(AZ$40:AZ42,AZ42)&gt;1,1,0)</f>
        <v>0</v>
      </c>
      <c r="BB42" s="1">
        <f t="shared" si="40"/>
        <v>1007274411</v>
      </c>
      <c r="BC42" s="1">
        <f t="shared" si="41"/>
        <v>4</v>
      </c>
      <c r="BD42" s="1">
        <f>IF(COUNTIF(BC$40:BC42,BC42)&gt;1,1,0)</f>
        <v>0</v>
      </c>
      <c r="BE42" s="1">
        <f t="shared" si="42"/>
        <v>1007274411</v>
      </c>
      <c r="BF42" s="1">
        <f t="shared" si="43"/>
        <v>4</v>
      </c>
      <c r="BG42" s="1">
        <f>IF(COUNTIF(BF$40:BF42,BF42)&gt;1,1,0)</f>
        <v>0</v>
      </c>
      <c r="BH42" s="1">
        <f t="shared" si="44"/>
        <v>1007274411</v>
      </c>
      <c r="BI42" s="1">
        <f t="shared" si="45"/>
        <v>4</v>
      </c>
      <c r="BJ42" s="1">
        <f>IF(COUNTIF(BI$40:BI42,BI42)&gt;1,1,0)</f>
        <v>0</v>
      </c>
      <c r="BK42" s="1">
        <f t="shared" si="46"/>
        <v>1007274411</v>
      </c>
      <c r="BL42" s="1">
        <f t="shared" si="47"/>
        <v>4</v>
      </c>
      <c r="BM42" s="1">
        <f>IF(COUNTIF(BL$40:BL42,BL42)&gt;1,1,0)</f>
        <v>0</v>
      </c>
      <c r="BN42" s="1">
        <f t="shared" si="48"/>
        <v>1007274411</v>
      </c>
      <c r="BO42" s="1">
        <f t="shared" si="49"/>
        <v>4</v>
      </c>
      <c r="BP42" s="1">
        <f>IF(COUNTIF(BO$40:BO42,BO42)&gt;1,1,0)</f>
        <v>0</v>
      </c>
      <c r="BQ42" s="1">
        <f t="shared" si="50"/>
        <v>1007274411</v>
      </c>
      <c r="BR42" s="1">
        <f t="shared" si="51"/>
        <v>4</v>
      </c>
      <c r="BS42" s="1">
        <f>IF(COUNTIF(BR$40:BR42,BR42)&gt;1,1,0)</f>
        <v>0</v>
      </c>
      <c r="BT42" s="1">
        <f t="shared" si="52"/>
        <v>1007274411</v>
      </c>
      <c r="BU42" s="1">
        <f t="shared" si="53"/>
        <v>4</v>
      </c>
    </row>
    <row r="43" spans="1:73" ht="16.5">
      <c r="A43" s="13">
        <f>A42+1</f>
        <v>28</v>
      </c>
      <c r="B43" s="13" t="s">
        <v>27</v>
      </c>
      <c r="C43" s="13">
        <v>1</v>
      </c>
      <c r="D43" s="14">
        <v>0.5208333333333334</v>
      </c>
      <c r="E43" s="13" t="s">
        <v>10</v>
      </c>
      <c r="F43" s="13" t="str">
        <f>Saisondaten!$C$22</f>
        <v>KSV Glauchau</v>
      </c>
      <c r="G43" s="13" t="s">
        <v>43</v>
      </c>
      <c r="H43" s="13" t="str">
        <f>Saisondaten!$C$23</f>
        <v>KSVH Berlin</v>
      </c>
      <c r="I43" s="20">
        <v>3</v>
      </c>
      <c r="J43" s="13" t="s">
        <v>43</v>
      </c>
      <c r="K43" s="20">
        <v>4</v>
      </c>
      <c r="L43" s="179" t="str">
        <f>IF(VLOOKUP(A43,Schiedsrichter!$A$3:$I$176,8,FALSE)=0,"-",VLOOKUP(A43,Schiedsrichter!$A$3:$I$176,8,FALSE))</f>
        <v>ACC Hamburg</v>
      </c>
      <c r="M43" s="173" t="s">
        <v>249</v>
      </c>
      <c r="N43" s="185" t="str">
        <f>IF(VLOOKUP(A43,Schiedsrichter!$A$3:$I$176,9,FALSE)=0,"-",VLOOKUP(A43,Schiedsrichter!$A$3:$I$176,9,FALSE))</f>
        <v>KCNW Berlin</v>
      </c>
      <c r="P43" s="1">
        <f t="shared" si="5"/>
        <v>1</v>
      </c>
      <c r="Q43" s="1" t="str">
        <f t="shared" si="18"/>
        <v>KSV Glauchau</v>
      </c>
      <c r="R43" s="1">
        <f t="shared" si="6"/>
        <v>0</v>
      </c>
      <c r="S43" s="1">
        <f t="shared" si="7"/>
        <v>0</v>
      </c>
      <c r="T43" s="1">
        <f t="shared" si="8"/>
        <v>1</v>
      </c>
      <c r="U43" s="1">
        <f t="shared" si="9"/>
        <v>3</v>
      </c>
      <c r="V43" s="1">
        <f t="shared" si="10"/>
        <v>4</v>
      </c>
      <c r="W43" s="1" t="str">
        <f t="shared" si="11"/>
        <v>KSVH Berlin</v>
      </c>
      <c r="X43" s="1">
        <f t="shared" si="12"/>
        <v>1</v>
      </c>
      <c r="Y43" s="1">
        <f t="shared" si="13"/>
        <v>0</v>
      </c>
      <c r="Z43" s="1">
        <f t="shared" si="14"/>
        <v>0</v>
      </c>
      <c r="AA43" s="1">
        <f t="shared" si="15"/>
        <v>4</v>
      </c>
      <c r="AB43" s="1">
        <f t="shared" si="16"/>
        <v>3</v>
      </c>
      <c r="AD43" s="1">
        <f t="shared" si="28"/>
        <v>10</v>
      </c>
      <c r="AE43" s="1" t="str">
        <f t="shared" si="26"/>
        <v>KC Wetter</v>
      </c>
      <c r="AF43" s="1" t="str">
        <f>Saisondaten!$B$17</f>
        <v>A</v>
      </c>
      <c r="AG43" s="1">
        <f t="shared" si="27"/>
        <v>0</v>
      </c>
      <c r="AH43" s="1">
        <f t="shared" si="27"/>
        <v>2</v>
      </c>
      <c r="AI43" s="1">
        <f t="shared" si="27"/>
        <v>3</v>
      </c>
      <c r="AJ43" s="1">
        <f t="shared" si="27"/>
        <v>13</v>
      </c>
      <c r="AK43" s="1">
        <f t="shared" si="27"/>
        <v>28</v>
      </c>
      <c r="AL43" s="1">
        <f t="shared" si="29"/>
        <v>2</v>
      </c>
      <c r="AM43" s="1">
        <f t="shared" si="30"/>
        <v>186767779</v>
      </c>
      <c r="AN43" s="1">
        <f t="shared" si="31"/>
        <v>10</v>
      </c>
      <c r="AO43" s="1">
        <f>IF(COUNTIF(AN$40:AN43,AN43)&gt;1,1,0)</f>
        <v>0</v>
      </c>
      <c r="AP43" s="1">
        <f t="shared" si="32"/>
        <v>186767779</v>
      </c>
      <c r="AQ43" s="1">
        <f t="shared" si="33"/>
        <v>10</v>
      </c>
      <c r="AR43" s="1">
        <f>IF(COUNTIF(AQ$40:AQ43,AQ43)&gt;1,1,0)</f>
        <v>0</v>
      </c>
      <c r="AS43" s="1">
        <f t="shared" si="34"/>
        <v>186767779</v>
      </c>
      <c r="AT43" s="1">
        <f t="shared" si="35"/>
        <v>10</v>
      </c>
      <c r="AU43" s="1">
        <f>IF(COUNTIF(AT$40:AT43,AT43)&gt;1,1,0)</f>
        <v>0</v>
      </c>
      <c r="AV43" s="1">
        <f t="shared" si="36"/>
        <v>186767779</v>
      </c>
      <c r="AW43" s="1">
        <f t="shared" si="37"/>
        <v>10</v>
      </c>
      <c r="AX43" s="1">
        <f>IF(COUNTIF(AW$40:AW43,AW43)&gt;1,1,0)</f>
        <v>0</v>
      </c>
      <c r="AY43" s="1">
        <f t="shared" si="38"/>
        <v>186767779</v>
      </c>
      <c r="AZ43" s="1">
        <f t="shared" si="39"/>
        <v>10</v>
      </c>
      <c r="BA43" s="1">
        <f>IF(COUNTIF(AZ$40:AZ43,AZ43)&gt;1,1,0)</f>
        <v>0</v>
      </c>
      <c r="BB43" s="1">
        <f t="shared" si="40"/>
        <v>186767779</v>
      </c>
      <c r="BC43" s="1">
        <f t="shared" si="41"/>
        <v>10</v>
      </c>
      <c r="BD43" s="1">
        <f>IF(COUNTIF(BC$40:BC43,BC43)&gt;1,1,0)</f>
        <v>0</v>
      </c>
      <c r="BE43" s="1">
        <f t="shared" si="42"/>
        <v>186767779</v>
      </c>
      <c r="BF43" s="1">
        <f t="shared" si="43"/>
        <v>10</v>
      </c>
      <c r="BG43" s="1">
        <f>IF(COUNTIF(BF$40:BF43,BF43)&gt;1,1,0)</f>
        <v>0</v>
      </c>
      <c r="BH43" s="1">
        <f t="shared" si="44"/>
        <v>186767779</v>
      </c>
      <c r="BI43" s="1">
        <f t="shared" si="45"/>
        <v>10</v>
      </c>
      <c r="BJ43" s="1">
        <f>IF(COUNTIF(BI$40:BI43,BI43)&gt;1,1,0)</f>
        <v>0</v>
      </c>
      <c r="BK43" s="1">
        <f t="shared" si="46"/>
        <v>186767779</v>
      </c>
      <c r="BL43" s="1">
        <f t="shared" si="47"/>
        <v>10</v>
      </c>
      <c r="BM43" s="1">
        <f>IF(COUNTIF(BL$40:BL43,BL43)&gt;1,1,0)</f>
        <v>0</v>
      </c>
      <c r="BN43" s="1">
        <f t="shared" si="48"/>
        <v>186767779</v>
      </c>
      <c r="BO43" s="1">
        <f t="shared" si="49"/>
        <v>10</v>
      </c>
      <c r="BP43" s="1">
        <f>IF(COUNTIF(BO$40:BO43,BO43)&gt;1,1,0)</f>
        <v>0</v>
      </c>
      <c r="BQ43" s="1">
        <f t="shared" si="50"/>
        <v>186767779</v>
      </c>
      <c r="BR43" s="1">
        <f t="shared" si="51"/>
        <v>10</v>
      </c>
      <c r="BS43" s="1">
        <f>IF(COUNTIF(BR$40:BR43,BR43)&gt;1,1,0)</f>
        <v>0</v>
      </c>
      <c r="BT43" s="1">
        <f t="shared" si="52"/>
        <v>186767779</v>
      </c>
      <c r="BU43" s="1">
        <f t="shared" si="53"/>
        <v>10</v>
      </c>
    </row>
    <row r="44" spans="1:73" ht="16.5">
      <c r="A44" s="3">
        <f>A43+1</f>
        <v>29</v>
      </c>
      <c r="B44" s="3" t="s">
        <v>27</v>
      </c>
      <c r="C44" s="3">
        <v>1</v>
      </c>
      <c r="D44" s="4">
        <v>0.5520833333333334</v>
      </c>
      <c r="E44" s="3" t="s">
        <v>10</v>
      </c>
      <c r="F44" s="3" t="str">
        <f>Saisondaten!$C$20</f>
        <v>RSV Hannover</v>
      </c>
      <c r="G44" s="3" t="s">
        <v>43</v>
      </c>
      <c r="H44" s="3" t="str">
        <f>Saisondaten!$C$21</f>
        <v>VK Berlin</v>
      </c>
      <c r="I44" s="21">
        <v>3</v>
      </c>
      <c r="J44" s="3" t="s">
        <v>43</v>
      </c>
      <c r="K44" s="21">
        <v>1</v>
      </c>
      <c r="L44" s="180" t="str">
        <f>IF(VLOOKUP(A44,Schiedsrichter!$A$3:$I$176,8,FALSE)=0,"-",VLOOKUP(A44,Schiedsrichter!$A$3:$I$176,8,FALSE))</f>
        <v>KSV Glauchau</v>
      </c>
      <c r="M44" s="174" t="s">
        <v>249</v>
      </c>
      <c r="N44" s="186" t="str">
        <f>IF(VLOOKUP(A44,Schiedsrichter!$A$3:$I$176,9,FALSE)=0,"-",VLOOKUP(A44,Schiedsrichter!$A$3:$I$176,9,FALSE))</f>
        <v>KSVH Berlin</v>
      </c>
      <c r="P44" s="1">
        <f t="shared" si="5"/>
        <v>1</v>
      </c>
      <c r="Q44" s="1" t="str">
        <f t="shared" si="18"/>
        <v>RSV Hannover</v>
      </c>
      <c r="R44" s="1">
        <f t="shared" si="6"/>
        <v>1</v>
      </c>
      <c r="S44" s="1">
        <f t="shared" si="7"/>
        <v>0</v>
      </c>
      <c r="T44" s="1">
        <f t="shared" si="8"/>
        <v>0</v>
      </c>
      <c r="U44" s="1">
        <f t="shared" si="9"/>
        <v>3</v>
      </c>
      <c r="V44" s="1">
        <f t="shared" si="10"/>
        <v>1</v>
      </c>
      <c r="W44" s="1" t="str">
        <f t="shared" si="11"/>
        <v>VK Berlin</v>
      </c>
      <c r="X44" s="1">
        <f t="shared" si="12"/>
        <v>0</v>
      </c>
      <c r="Y44" s="1">
        <f t="shared" si="13"/>
        <v>0</v>
      </c>
      <c r="Z44" s="1">
        <f t="shared" si="14"/>
        <v>1</v>
      </c>
      <c r="AA44" s="1">
        <f t="shared" si="15"/>
        <v>1</v>
      </c>
      <c r="AB44" s="1">
        <f t="shared" si="16"/>
        <v>3</v>
      </c>
      <c r="AD44" s="1">
        <f t="shared" si="28"/>
        <v>8</v>
      </c>
      <c r="AE44" s="1" t="str">
        <f t="shared" si="26"/>
        <v>KGW Essen</v>
      </c>
      <c r="AF44" s="1" t="str">
        <f>Saisondaten!$B$17</f>
        <v>A</v>
      </c>
      <c r="AG44" s="1">
        <f t="shared" si="27"/>
        <v>1</v>
      </c>
      <c r="AH44" s="1">
        <f t="shared" si="27"/>
        <v>2</v>
      </c>
      <c r="AI44" s="1">
        <f t="shared" si="27"/>
        <v>2</v>
      </c>
      <c r="AJ44" s="1">
        <f t="shared" si="27"/>
        <v>12</v>
      </c>
      <c r="AK44" s="1">
        <f t="shared" si="27"/>
        <v>13</v>
      </c>
      <c r="AL44" s="1">
        <f t="shared" si="29"/>
        <v>5</v>
      </c>
      <c r="AM44" s="1">
        <f t="shared" si="30"/>
        <v>499204431</v>
      </c>
      <c r="AN44" s="1">
        <f t="shared" si="31"/>
        <v>8</v>
      </c>
      <c r="AO44" s="1">
        <f>IF(COUNTIF(AN$40:AN44,AN44)&gt;1,1,0)</f>
        <v>0</v>
      </c>
      <c r="AP44" s="1">
        <f t="shared" si="32"/>
        <v>499204431</v>
      </c>
      <c r="AQ44" s="1">
        <f t="shared" si="33"/>
        <v>8</v>
      </c>
      <c r="AR44" s="1">
        <f>IF(COUNTIF(AQ$40:AQ44,AQ44)&gt;1,1,0)</f>
        <v>0</v>
      </c>
      <c r="AS44" s="1">
        <f t="shared" si="34"/>
        <v>499204431</v>
      </c>
      <c r="AT44" s="1">
        <f t="shared" si="35"/>
        <v>8</v>
      </c>
      <c r="AU44" s="1">
        <f>IF(COUNTIF(AT$40:AT44,AT44)&gt;1,1,0)</f>
        <v>0</v>
      </c>
      <c r="AV44" s="1">
        <f t="shared" si="36"/>
        <v>499204431</v>
      </c>
      <c r="AW44" s="1">
        <f t="shared" si="37"/>
        <v>8</v>
      </c>
      <c r="AX44" s="1">
        <f>IF(COUNTIF(AW$40:AW44,AW44)&gt;1,1,0)</f>
        <v>0</v>
      </c>
      <c r="AY44" s="1">
        <f t="shared" si="38"/>
        <v>499204431</v>
      </c>
      <c r="AZ44" s="1">
        <f t="shared" si="39"/>
        <v>8</v>
      </c>
      <c r="BA44" s="1">
        <f>IF(COUNTIF(AZ$40:AZ44,AZ44)&gt;1,1,0)</f>
        <v>0</v>
      </c>
      <c r="BB44" s="1">
        <f t="shared" si="40"/>
        <v>499204431</v>
      </c>
      <c r="BC44" s="1">
        <f t="shared" si="41"/>
        <v>8</v>
      </c>
      <c r="BD44" s="1">
        <f>IF(COUNTIF(BC$40:BC44,BC44)&gt;1,1,0)</f>
        <v>0</v>
      </c>
      <c r="BE44" s="1">
        <f t="shared" si="42"/>
        <v>499204431</v>
      </c>
      <c r="BF44" s="1">
        <f t="shared" si="43"/>
        <v>8</v>
      </c>
      <c r="BG44" s="1">
        <f>IF(COUNTIF(BF$40:BF44,BF44)&gt;1,1,0)</f>
        <v>0</v>
      </c>
      <c r="BH44" s="1">
        <f t="shared" si="44"/>
        <v>499204431</v>
      </c>
      <c r="BI44" s="1">
        <f t="shared" si="45"/>
        <v>8</v>
      </c>
      <c r="BJ44" s="1">
        <f>IF(COUNTIF(BI$40:BI44,BI44)&gt;1,1,0)</f>
        <v>0</v>
      </c>
      <c r="BK44" s="1">
        <f t="shared" si="46"/>
        <v>499204431</v>
      </c>
      <c r="BL44" s="1">
        <f t="shared" si="47"/>
        <v>8</v>
      </c>
      <c r="BM44" s="1">
        <f>IF(COUNTIF(BL$40:BL44,BL44)&gt;1,1,0)</f>
        <v>0</v>
      </c>
      <c r="BN44" s="1">
        <f t="shared" si="48"/>
        <v>499204431</v>
      </c>
      <c r="BO44" s="1">
        <f t="shared" si="49"/>
        <v>8</v>
      </c>
      <c r="BP44" s="1">
        <f>IF(COUNTIF(BO$40:BO44,BO44)&gt;1,1,0)</f>
        <v>0</v>
      </c>
      <c r="BQ44" s="1">
        <f t="shared" si="50"/>
        <v>499204431</v>
      </c>
      <c r="BR44" s="1">
        <f t="shared" si="51"/>
        <v>8</v>
      </c>
      <c r="BS44" s="1">
        <f>IF(COUNTIF(BR$40:BR44,BR44)&gt;1,1,0)</f>
        <v>0</v>
      </c>
      <c r="BT44" s="1">
        <f t="shared" si="52"/>
        <v>499204431</v>
      </c>
      <c r="BU44" s="1">
        <f t="shared" si="53"/>
        <v>8</v>
      </c>
    </row>
    <row r="45" spans="1:73" ht="16.5">
      <c r="A45" s="17">
        <f>A44+1</f>
        <v>30</v>
      </c>
      <c r="B45" s="17" t="s">
        <v>27</v>
      </c>
      <c r="C45" s="17">
        <v>1</v>
      </c>
      <c r="D45" s="18">
        <v>0.5833333333333334</v>
      </c>
      <c r="E45" s="17" t="s">
        <v>10</v>
      </c>
      <c r="F45" s="17" t="str">
        <f>Saisondaten!$C$18</f>
        <v>ACC Hamburg</v>
      </c>
      <c r="G45" s="17" t="s">
        <v>43</v>
      </c>
      <c r="H45" s="17" t="str">
        <f>Saisondaten!$C$19</f>
        <v>KCNW Berlin</v>
      </c>
      <c r="I45" s="24">
        <v>4</v>
      </c>
      <c r="J45" s="17" t="s">
        <v>43</v>
      </c>
      <c r="K45" s="24">
        <v>3</v>
      </c>
      <c r="L45" s="183" t="str">
        <f>IF(VLOOKUP(A45,Schiedsrichter!$A$3:$I$176,8,FALSE)=0,"-",VLOOKUP(A45,Schiedsrichter!$A$3:$I$176,8,FALSE))</f>
        <v>RSV Hannover</v>
      </c>
      <c r="M45" s="177" t="s">
        <v>249</v>
      </c>
      <c r="N45" s="189" t="str">
        <f>IF(VLOOKUP(A45,Schiedsrichter!$A$3:$I$176,9,FALSE)=0,"-",VLOOKUP(A45,Schiedsrichter!$A$3:$I$176,9,FALSE))</f>
        <v>VK Berlin</v>
      </c>
      <c r="P45" s="1">
        <f t="shared" si="5"/>
        <v>1</v>
      </c>
      <c r="Q45" s="1" t="str">
        <f t="shared" si="18"/>
        <v>ACC Hamburg</v>
      </c>
      <c r="R45" s="1">
        <f t="shared" si="6"/>
        <v>1</v>
      </c>
      <c r="S45" s="1">
        <f t="shared" si="7"/>
        <v>0</v>
      </c>
      <c r="T45" s="1">
        <f t="shared" si="8"/>
        <v>0</v>
      </c>
      <c r="U45" s="1">
        <f t="shared" si="9"/>
        <v>4</v>
      </c>
      <c r="V45" s="1">
        <f t="shared" si="10"/>
        <v>3</v>
      </c>
      <c r="W45" s="1" t="str">
        <f t="shared" si="11"/>
        <v>KCNW Berlin</v>
      </c>
      <c r="X45" s="1">
        <f t="shared" si="12"/>
        <v>0</v>
      </c>
      <c r="Y45" s="1">
        <f t="shared" si="13"/>
        <v>0</v>
      </c>
      <c r="Z45" s="1">
        <f t="shared" si="14"/>
        <v>1</v>
      </c>
      <c r="AA45" s="1">
        <f t="shared" si="15"/>
        <v>3</v>
      </c>
      <c r="AB45" s="1">
        <f t="shared" si="16"/>
        <v>4</v>
      </c>
      <c r="AD45" s="1">
        <f t="shared" si="28"/>
        <v>12</v>
      </c>
      <c r="AE45" s="1" t="str">
        <f t="shared" si="26"/>
        <v>Göttinger PC</v>
      </c>
      <c r="AF45" s="1" t="str">
        <f>Saisondaten!$B$17</f>
        <v>A</v>
      </c>
      <c r="AG45" s="1">
        <f t="shared" si="27"/>
        <v>0</v>
      </c>
      <c r="AH45" s="1">
        <f t="shared" si="27"/>
        <v>1</v>
      </c>
      <c r="AI45" s="1">
        <f t="shared" si="27"/>
        <v>4</v>
      </c>
      <c r="AJ45" s="1">
        <f t="shared" si="27"/>
        <v>8</v>
      </c>
      <c r="AK45" s="1">
        <f t="shared" si="27"/>
        <v>21</v>
      </c>
      <c r="AL45" s="1">
        <f t="shared" si="29"/>
        <v>1</v>
      </c>
      <c r="AM45" s="1">
        <f t="shared" si="30"/>
        <v>88506671</v>
      </c>
      <c r="AN45" s="1">
        <f t="shared" si="31"/>
        <v>12</v>
      </c>
      <c r="AO45" s="1">
        <f>IF(COUNTIF(AN$40:AN45,AN45)&gt;1,1,0)</f>
        <v>0</v>
      </c>
      <c r="AP45" s="1">
        <f t="shared" si="32"/>
        <v>88506671</v>
      </c>
      <c r="AQ45" s="1">
        <f t="shared" si="33"/>
        <v>12</v>
      </c>
      <c r="AR45" s="1">
        <f>IF(COUNTIF(AQ$40:AQ45,AQ45)&gt;1,1,0)</f>
        <v>0</v>
      </c>
      <c r="AS45" s="1">
        <f t="shared" si="34"/>
        <v>88506671</v>
      </c>
      <c r="AT45" s="1">
        <f t="shared" si="35"/>
        <v>12</v>
      </c>
      <c r="AU45" s="1">
        <f>IF(COUNTIF(AT$40:AT45,AT45)&gt;1,1,0)</f>
        <v>0</v>
      </c>
      <c r="AV45" s="1">
        <f t="shared" si="36"/>
        <v>88506671</v>
      </c>
      <c r="AW45" s="1">
        <f t="shared" si="37"/>
        <v>12</v>
      </c>
      <c r="AX45" s="1">
        <f>IF(COUNTIF(AW$40:AW45,AW45)&gt;1,1,0)</f>
        <v>0</v>
      </c>
      <c r="AY45" s="1">
        <f t="shared" si="38"/>
        <v>88506671</v>
      </c>
      <c r="AZ45" s="1">
        <f t="shared" si="39"/>
        <v>12</v>
      </c>
      <c r="BA45" s="1">
        <f>IF(COUNTIF(AZ$40:AZ45,AZ45)&gt;1,1,0)</f>
        <v>0</v>
      </c>
      <c r="BB45" s="1">
        <f t="shared" si="40"/>
        <v>88506671</v>
      </c>
      <c r="BC45" s="1">
        <f t="shared" si="41"/>
        <v>12</v>
      </c>
      <c r="BD45" s="1">
        <f>IF(COUNTIF(BC$40:BC45,BC45)&gt;1,1,0)</f>
        <v>0</v>
      </c>
      <c r="BE45" s="1">
        <f t="shared" si="42"/>
        <v>88506671</v>
      </c>
      <c r="BF45" s="1">
        <f t="shared" si="43"/>
        <v>12</v>
      </c>
      <c r="BG45" s="1">
        <f>IF(COUNTIF(BF$40:BF45,BF45)&gt;1,1,0)</f>
        <v>0</v>
      </c>
      <c r="BH45" s="1">
        <f t="shared" si="44"/>
        <v>88506671</v>
      </c>
      <c r="BI45" s="1">
        <f t="shared" si="45"/>
        <v>12</v>
      </c>
      <c r="BJ45" s="1">
        <f>IF(COUNTIF(BI$40:BI45,BI45)&gt;1,1,0)</f>
        <v>0</v>
      </c>
      <c r="BK45" s="1">
        <f t="shared" si="46"/>
        <v>88506671</v>
      </c>
      <c r="BL45" s="1">
        <f t="shared" si="47"/>
        <v>12</v>
      </c>
      <c r="BM45" s="1">
        <f>IF(COUNTIF(BL$40:BL45,BL45)&gt;1,1,0)</f>
        <v>0</v>
      </c>
      <c r="BN45" s="1">
        <f t="shared" si="48"/>
        <v>88506671</v>
      </c>
      <c r="BO45" s="1">
        <f t="shared" si="49"/>
        <v>12</v>
      </c>
      <c r="BP45" s="1">
        <f>IF(COUNTIF(BO$40:BO45,BO45)&gt;1,1,0)</f>
        <v>0</v>
      </c>
      <c r="BQ45" s="1">
        <f t="shared" si="50"/>
        <v>88506671</v>
      </c>
      <c r="BR45" s="1">
        <f t="shared" si="51"/>
        <v>12</v>
      </c>
      <c r="BS45" s="1">
        <f>IF(COUNTIF(BR$40:BR45,BR45)&gt;1,1,0)</f>
        <v>0</v>
      </c>
      <c r="BT45" s="1">
        <f t="shared" si="52"/>
        <v>88506671</v>
      </c>
      <c r="BU45" s="1">
        <f t="shared" si="53"/>
        <v>12</v>
      </c>
    </row>
    <row r="46" spans="13:73" ht="16.5">
      <c r="M46" s="3"/>
      <c r="AD46" s="1">
        <f t="shared" si="28"/>
        <v>7</v>
      </c>
      <c r="AE46" s="1" t="str">
        <f t="shared" si="26"/>
        <v>ACC Hamburg</v>
      </c>
      <c r="AF46" s="1" t="str">
        <f>Saisondaten!$C$17</f>
        <v>B</v>
      </c>
      <c r="AG46" s="1">
        <f t="shared" si="27"/>
        <v>2</v>
      </c>
      <c r="AH46" s="1">
        <f t="shared" si="27"/>
        <v>1</v>
      </c>
      <c r="AI46" s="1">
        <f t="shared" si="27"/>
        <v>2</v>
      </c>
      <c r="AJ46" s="1">
        <f t="shared" si="27"/>
        <v>14</v>
      </c>
      <c r="AK46" s="1">
        <f t="shared" si="27"/>
        <v>18</v>
      </c>
      <c r="AL46" s="1">
        <f t="shared" si="29"/>
        <v>7</v>
      </c>
      <c r="AM46" s="1">
        <f t="shared" si="30"/>
        <v>696553319</v>
      </c>
      <c r="AN46" s="1">
        <f t="shared" si="31"/>
        <v>7</v>
      </c>
      <c r="AO46" s="1">
        <f>IF(COUNTIF(AN$40:AN46,AN46)&gt;1,1,0)</f>
        <v>0</v>
      </c>
      <c r="AP46" s="1">
        <f t="shared" si="32"/>
        <v>696553319</v>
      </c>
      <c r="AQ46" s="1">
        <f t="shared" si="33"/>
        <v>7</v>
      </c>
      <c r="AR46" s="1">
        <f>IF(COUNTIF(AQ$40:AQ46,AQ46)&gt;1,1,0)</f>
        <v>0</v>
      </c>
      <c r="AS46" s="1">
        <f t="shared" si="34"/>
        <v>696553319</v>
      </c>
      <c r="AT46" s="1">
        <f t="shared" si="35"/>
        <v>7</v>
      </c>
      <c r="AU46" s="1">
        <f>IF(COUNTIF(AT$40:AT46,AT46)&gt;1,1,0)</f>
        <v>0</v>
      </c>
      <c r="AV46" s="1">
        <f t="shared" si="36"/>
        <v>696553319</v>
      </c>
      <c r="AW46" s="1">
        <f t="shared" si="37"/>
        <v>7</v>
      </c>
      <c r="AX46" s="1">
        <f>IF(COUNTIF(AW$40:AW46,AW46)&gt;1,1,0)</f>
        <v>0</v>
      </c>
      <c r="AY46" s="1">
        <f t="shared" si="38"/>
        <v>696553319</v>
      </c>
      <c r="AZ46" s="1">
        <f t="shared" si="39"/>
        <v>7</v>
      </c>
      <c r="BA46" s="1">
        <f>IF(COUNTIF(AZ$40:AZ46,AZ46)&gt;1,1,0)</f>
        <v>0</v>
      </c>
      <c r="BB46" s="1">
        <f t="shared" si="40"/>
        <v>696553319</v>
      </c>
      <c r="BC46" s="1">
        <f t="shared" si="41"/>
        <v>7</v>
      </c>
      <c r="BD46" s="1">
        <f>IF(COUNTIF(BC$40:BC46,BC46)&gt;1,1,0)</f>
        <v>0</v>
      </c>
      <c r="BE46" s="1">
        <f t="shared" si="42"/>
        <v>696553319</v>
      </c>
      <c r="BF46" s="1">
        <f t="shared" si="43"/>
        <v>7</v>
      </c>
      <c r="BG46" s="1">
        <f>IF(COUNTIF(BF$40:BF46,BF46)&gt;1,1,0)</f>
        <v>0</v>
      </c>
      <c r="BH46" s="1">
        <f t="shared" si="44"/>
        <v>696553319</v>
      </c>
      <c r="BI46" s="1">
        <f t="shared" si="45"/>
        <v>7</v>
      </c>
      <c r="BJ46" s="1">
        <f>IF(COUNTIF(BI$40:BI46,BI46)&gt;1,1,0)</f>
        <v>0</v>
      </c>
      <c r="BK46" s="1">
        <f t="shared" si="46"/>
        <v>696553319</v>
      </c>
      <c r="BL46" s="1">
        <f t="shared" si="47"/>
        <v>7</v>
      </c>
      <c r="BM46" s="1">
        <f>IF(COUNTIF(BL$40:BL46,BL46)&gt;1,1,0)</f>
        <v>0</v>
      </c>
      <c r="BN46" s="1">
        <f t="shared" si="48"/>
        <v>696553319</v>
      </c>
      <c r="BO46" s="1">
        <f t="shared" si="49"/>
        <v>7</v>
      </c>
      <c r="BP46" s="1">
        <f>IF(COUNTIF(BO$40:BO46,BO46)&gt;1,1,0)</f>
        <v>0</v>
      </c>
      <c r="BQ46" s="1">
        <f t="shared" si="50"/>
        <v>696553319</v>
      </c>
      <c r="BR46" s="1">
        <f t="shared" si="51"/>
        <v>7</v>
      </c>
      <c r="BS46" s="1">
        <f>IF(COUNTIF(BR$40:BR46,BR46)&gt;1,1,0)</f>
        <v>0</v>
      </c>
      <c r="BT46" s="1">
        <f t="shared" si="52"/>
        <v>696553319</v>
      </c>
      <c r="BU46" s="1">
        <f t="shared" si="53"/>
        <v>7</v>
      </c>
    </row>
    <row r="47" spans="30:73" ht="16.5">
      <c r="AD47" s="1">
        <f t="shared" si="28"/>
        <v>6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3</v>
      </c>
      <c r="AH47" s="1">
        <f t="shared" si="27"/>
        <v>0</v>
      </c>
      <c r="AI47" s="1">
        <f t="shared" si="27"/>
        <v>2</v>
      </c>
      <c r="AJ47" s="1">
        <f t="shared" si="27"/>
        <v>15</v>
      </c>
      <c r="AK47" s="1">
        <f t="shared" si="27"/>
        <v>12</v>
      </c>
      <c r="AL47" s="1">
        <f t="shared" si="29"/>
        <v>9</v>
      </c>
      <c r="AM47" s="1">
        <f t="shared" si="30"/>
        <v>902783310</v>
      </c>
      <c r="AN47" s="1">
        <f t="shared" si="31"/>
        <v>6</v>
      </c>
      <c r="AO47" s="1">
        <f>IF(COUNTIF(AN$40:AN47,AN47)&gt;1,1,0)</f>
        <v>0</v>
      </c>
      <c r="AP47" s="1">
        <f t="shared" si="32"/>
        <v>902783310</v>
      </c>
      <c r="AQ47" s="1">
        <f t="shared" si="33"/>
        <v>6</v>
      </c>
      <c r="AR47" s="1">
        <f>IF(COUNTIF(AQ$40:AQ47,AQ47)&gt;1,1,0)</f>
        <v>0</v>
      </c>
      <c r="AS47" s="1">
        <f t="shared" si="34"/>
        <v>902783310</v>
      </c>
      <c r="AT47" s="1">
        <f t="shared" si="35"/>
        <v>6</v>
      </c>
      <c r="AU47" s="1">
        <f>IF(COUNTIF(AT$40:AT47,AT47)&gt;1,1,0)</f>
        <v>0</v>
      </c>
      <c r="AV47" s="1">
        <f t="shared" si="36"/>
        <v>902783310</v>
      </c>
      <c r="AW47" s="1">
        <f t="shared" si="37"/>
        <v>6</v>
      </c>
      <c r="AX47" s="1">
        <f>IF(COUNTIF(AW$40:AW47,AW47)&gt;1,1,0)</f>
        <v>0</v>
      </c>
      <c r="AY47" s="1">
        <f t="shared" si="38"/>
        <v>902783310</v>
      </c>
      <c r="AZ47" s="1">
        <f t="shared" si="39"/>
        <v>6</v>
      </c>
      <c r="BA47" s="1">
        <f>IF(COUNTIF(AZ$40:AZ47,AZ47)&gt;1,1,0)</f>
        <v>0</v>
      </c>
      <c r="BB47" s="1">
        <f t="shared" si="40"/>
        <v>902783310</v>
      </c>
      <c r="BC47" s="1">
        <f t="shared" si="41"/>
        <v>6</v>
      </c>
      <c r="BD47" s="1">
        <f>IF(COUNTIF(BC$40:BC47,BC47)&gt;1,1,0)</f>
        <v>0</v>
      </c>
      <c r="BE47" s="1">
        <f t="shared" si="42"/>
        <v>902783310</v>
      </c>
      <c r="BF47" s="1">
        <f t="shared" si="43"/>
        <v>6</v>
      </c>
      <c r="BG47" s="1">
        <f>IF(COUNTIF(BF$40:BF47,BF47)&gt;1,1,0)</f>
        <v>0</v>
      </c>
      <c r="BH47" s="1">
        <f t="shared" si="44"/>
        <v>902783310</v>
      </c>
      <c r="BI47" s="1">
        <f t="shared" si="45"/>
        <v>6</v>
      </c>
      <c r="BJ47" s="1">
        <f>IF(COUNTIF(BI$40:BI47,BI47)&gt;1,1,0)</f>
        <v>0</v>
      </c>
      <c r="BK47" s="1">
        <f t="shared" si="46"/>
        <v>902783310</v>
      </c>
      <c r="BL47" s="1">
        <f t="shared" si="47"/>
        <v>6</v>
      </c>
      <c r="BM47" s="1">
        <f>IF(COUNTIF(BL$40:BL47,BL47)&gt;1,1,0)</f>
        <v>0</v>
      </c>
      <c r="BN47" s="1">
        <f t="shared" si="48"/>
        <v>902783310</v>
      </c>
      <c r="BO47" s="1">
        <f t="shared" si="49"/>
        <v>6</v>
      </c>
      <c r="BP47" s="1">
        <f>IF(COUNTIF(BO$40:BO47,BO47)&gt;1,1,0)</f>
        <v>0</v>
      </c>
      <c r="BQ47" s="1">
        <f t="shared" si="50"/>
        <v>902783310</v>
      </c>
      <c r="BR47" s="1">
        <f t="shared" si="51"/>
        <v>6</v>
      </c>
      <c r="BS47" s="1">
        <f>IF(COUNTIF(BR$40:BR47,BR47)&gt;1,1,0)</f>
        <v>0</v>
      </c>
      <c r="BT47" s="1">
        <f t="shared" si="52"/>
        <v>902783310</v>
      </c>
      <c r="BU47" s="1">
        <f t="shared" si="53"/>
        <v>6</v>
      </c>
    </row>
    <row r="48" spans="30:73" ht="16.5">
      <c r="AD48" s="1">
        <f t="shared" si="28"/>
        <v>2</v>
      </c>
      <c r="AE48" s="1" t="str">
        <f t="shared" si="26"/>
        <v>RSV Hannover</v>
      </c>
      <c r="AF48" s="1" t="str">
        <f>Saisondaten!$C$17</f>
        <v>B</v>
      </c>
      <c r="AG48" s="1">
        <f t="shared" si="27"/>
        <v>4</v>
      </c>
      <c r="AH48" s="1">
        <f t="shared" si="27"/>
        <v>0</v>
      </c>
      <c r="AI48" s="1">
        <f t="shared" si="27"/>
        <v>1</v>
      </c>
      <c r="AJ48" s="1">
        <f t="shared" si="27"/>
        <v>20</v>
      </c>
      <c r="AK48" s="1">
        <f t="shared" si="27"/>
        <v>7</v>
      </c>
      <c r="AL48" s="1">
        <f t="shared" si="29"/>
        <v>12</v>
      </c>
      <c r="AM48" s="1">
        <f t="shared" si="30"/>
        <v>1211711072</v>
      </c>
      <c r="AN48" s="1">
        <f t="shared" si="31"/>
        <v>2</v>
      </c>
      <c r="AO48" s="1">
        <f>IF(COUNTIF(AN$40:AN48,AN48)&gt;1,1,0)</f>
        <v>0</v>
      </c>
      <c r="AP48" s="1">
        <f t="shared" si="32"/>
        <v>1211711072</v>
      </c>
      <c r="AQ48" s="1">
        <f t="shared" si="33"/>
        <v>2</v>
      </c>
      <c r="AR48" s="1">
        <f>IF(COUNTIF(AQ$40:AQ48,AQ48)&gt;1,1,0)</f>
        <v>0</v>
      </c>
      <c r="AS48" s="1">
        <f t="shared" si="34"/>
        <v>1211711072</v>
      </c>
      <c r="AT48" s="1">
        <f t="shared" si="35"/>
        <v>2</v>
      </c>
      <c r="AU48" s="1">
        <f>IF(COUNTIF(AT$40:AT48,AT48)&gt;1,1,0)</f>
        <v>0</v>
      </c>
      <c r="AV48" s="1">
        <f t="shared" si="36"/>
        <v>1211711072</v>
      </c>
      <c r="AW48" s="1">
        <f t="shared" si="37"/>
        <v>2</v>
      </c>
      <c r="AX48" s="1">
        <f>IF(COUNTIF(AW$40:AW48,AW48)&gt;1,1,0)</f>
        <v>0</v>
      </c>
      <c r="AY48" s="1">
        <f t="shared" si="38"/>
        <v>1211711072</v>
      </c>
      <c r="AZ48" s="1">
        <f t="shared" si="39"/>
        <v>2</v>
      </c>
      <c r="BA48" s="1">
        <f>IF(COUNTIF(AZ$40:AZ48,AZ48)&gt;1,1,0)</f>
        <v>0</v>
      </c>
      <c r="BB48" s="1">
        <f t="shared" si="40"/>
        <v>1211711072</v>
      </c>
      <c r="BC48" s="1">
        <f t="shared" si="41"/>
        <v>2</v>
      </c>
      <c r="BD48" s="1">
        <f>IF(COUNTIF(BC$40:BC48,BC48)&gt;1,1,0)</f>
        <v>0</v>
      </c>
      <c r="BE48" s="1">
        <f t="shared" si="42"/>
        <v>1211711072</v>
      </c>
      <c r="BF48" s="1">
        <f t="shared" si="43"/>
        <v>2</v>
      </c>
      <c r="BG48" s="1">
        <f>IF(COUNTIF(BF$40:BF48,BF48)&gt;1,1,0)</f>
        <v>0</v>
      </c>
      <c r="BH48" s="1">
        <f t="shared" si="44"/>
        <v>1211711072</v>
      </c>
      <c r="BI48" s="1">
        <f t="shared" si="45"/>
        <v>2</v>
      </c>
      <c r="BJ48" s="1">
        <f>IF(COUNTIF(BI$40:BI48,BI48)&gt;1,1,0)</f>
        <v>0</v>
      </c>
      <c r="BK48" s="1">
        <f t="shared" si="46"/>
        <v>1211711072</v>
      </c>
      <c r="BL48" s="1">
        <f t="shared" si="47"/>
        <v>2</v>
      </c>
      <c r="BM48" s="1">
        <f>IF(COUNTIF(BL$40:BL48,BL48)&gt;1,1,0)</f>
        <v>0</v>
      </c>
      <c r="BN48" s="1">
        <f t="shared" si="48"/>
        <v>1211711072</v>
      </c>
      <c r="BO48" s="1">
        <f t="shared" si="49"/>
        <v>2</v>
      </c>
      <c r="BP48" s="1">
        <f>IF(COUNTIF(BO$40:BO48,BO48)&gt;1,1,0)</f>
        <v>0</v>
      </c>
      <c r="BQ48" s="1">
        <f t="shared" si="50"/>
        <v>1211711072</v>
      </c>
      <c r="BR48" s="1">
        <f t="shared" si="51"/>
        <v>2</v>
      </c>
      <c r="BS48" s="1">
        <f>IF(COUNTIF(BR$40:BR48,BR48)&gt;1,1,0)</f>
        <v>0</v>
      </c>
      <c r="BT48" s="1">
        <f t="shared" si="52"/>
        <v>1211711072</v>
      </c>
      <c r="BU48" s="1">
        <f t="shared" si="53"/>
        <v>2</v>
      </c>
    </row>
    <row r="49" spans="30:73" ht="16.5">
      <c r="AD49" s="1">
        <f t="shared" si="28"/>
        <v>9</v>
      </c>
      <c r="AE49" s="1" t="str">
        <f t="shared" si="26"/>
        <v>VK Berlin</v>
      </c>
      <c r="AF49" s="1" t="str">
        <f>Saisondaten!$C$17</f>
        <v>B</v>
      </c>
      <c r="AG49" s="1">
        <f t="shared" si="27"/>
        <v>0</v>
      </c>
      <c r="AH49" s="1">
        <f t="shared" si="27"/>
        <v>2</v>
      </c>
      <c r="AI49" s="1">
        <f t="shared" si="27"/>
        <v>3</v>
      </c>
      <c r="AJ49" s="1">
        <f t="shared" si="27"/>
        <v>14</v>
      </c>
      <c r="AK49" s="1">
        <f t="shared" si="27"/>
        <v>18</v>
      </c>
      <c r="AL49" s="1">
        <f t="shared" si="29"/>
        <v>2</v>
      </c>
      <c r="AM49" s="1">
        <f t="shared" si="30"/>
        <v>196553324</v>
      </c>
      <c r="AN49" s="1">
        <f t="shared" si="31"/>
        <v>9</v>
      </c>
      <c r="AO49" s="1">
        <f>IF(COUNTIF(AN$40:AN49,AN49)&gt;1,1,0)</f>
        <v>0</v>
      </c>
      <c r="AP49" s="1">
        <f t="shared" si="32"/>
        <v>196553324</v>
      </c>
      <c r="AQ49" s="1">
        <f t="shared" si="33"/>
        <v>9</v>
      </c>
      <c r="AR49" s="1">
        <f>IF(COUNTIF(AQ$40:AQ49,AQ49)&gt;1,1,0)</f>
        <v>0</v>
      </c>
      <c r="AS49" s="1">
        <f t="shared" si="34"/>
        <v>196553324</v>
      </c>
      <c r="AT49" s="1">
        <f t="shared" si="35"/>
        <v>9</v>
      </c>
      <c r="AU49" s="1">
        <f>IF(COUNTIF(AT$40:AT49,AT49)&gt;1,1,0)</f>
        <v>0</v>
      </c>
      <c r="AV49" s="1">
        <f t="shared" si="36"/>
        <v>196553324</v>
      </c>
      <c r="AW49" s="1">
        <f t="shared" si="37"/>
        <v>9</v>
      </c>
      <c r="AX49" s="1">
        <f>IF(COUNTIF(AW$40:AW49,AW49)&gt;1,1,0)</f>
        <v>0</v>
      </c>
      <c r="AY49" s="1">
        <f t="shared" si="38"/>
        <v>196553324</v>
      </c>
      <c r="AZ49" s="1">
        <f t="shared" si="39"/>
        <v>9</v>
      </c>
      <c r="BA49" s="1">
        <f>IF(COUNTIF(AZ$40:AZ49,AZ49)&gt;1,1,0)</f>
        <v>0</v>
      </c>
      <c r="BB49" s="1">
        <f t="shared" si="40"/>
        <v>196553324</v>
      </c>
      <c r="BC49" s="1">
        <f t="shared" si="41"/>
        <v>9</v>
      </c>
      <c r="BD49" s="1">
        <f>IF(COUNTIF(BC$40:BC49,BC49)&gt;1,1,0)</f>
        <v>0</v>
      </c>
      <c r="BE49" s="1">
        <f t="shared" si="42"/>
        <v>196553324</v>
      </c>
      <c r="BF49" s="1">
        <f t="shared" si="43"/>
        <v>9</v>
      </c>
      <c r="BG49" s="1">
        <f>IF(COUNTIF(BF$40:BF49,BF49)&gt;1,1,0)</f>
        <v>0</v>
      </c>
      <c r="BH49" s="1">
        <f t="shared" si="44"/>
        <v>196553324</v>
      </c>
      <c r="BI49" s="1">
        <f t="shared" si="45"/>
        <v>9</v>
      </c>
      <c r="BJ49" s="1">
        <f>IF(COUNTIF(BI$40:BI49,BI49)&gt;1,1,0)</f>
        <v>0</v>
      </c>
      <c r="BK49" s="1">
        <f t="shared" si="46"/>
        <v>196553324</v>
      </c>
      <c r="BL49" s="1">
        <f t="shared" si="47"/>
        <v>9</v>
      </c>
      <c r="BM49" s="1">
        <f>IF(COUNTIF(BL$40:BL49,BL49)&gt;1,1,0)</f>
        <v>0</v>
      </c>
      <c r="BN49" s="1">
        <f t="shared" si="48"/>
        <v>196553324</v>
      </c>
      <c r="BO49" s="1">
        <f t="shared" si="49"/>
        <v>9</v>
      </c>
      <c r="BP49" s="1">
        <f>IF(COUNTIF(BO$40:BO49,BO49)&gt;1,1,0)</f>
        <v>0</v>
      </c>
      <c r="BQ49" s="1">
        <f t="shared" si="50"/>
        <v>196553324</v>
      </c>
      <c r="BR49" s="1">
        <f t="shared" si="51"/>
        <v>9</v>
      </c>
      <c r="BS49" s="1">
        <f>IF(COUNTIF(BR$40:BR49,BR49)&gt;1,1,0)</f>
        <v>0</v>
      </c>
      <c r="BT49" s="1">
        <f t="shared" si="52"/>
        <v>196553324</v>
      </c>
      <c r="BU49" s="1">
        <f t="shared" si="53"/>
        <v>9</v>
      </c>
    </row>
    <row r="50" spans="30:73" ht="16.5">
      <c r="AD50" s="1">
        <f t="shared" si="28"/>
        <v>11</v>
      </c>
      <c r="AE50" s="1" t="str">
        <f t="shared" si="26"/>
        <v>KSV Glauchau</v>
      </c>
      <c r="AF50" s="1" t="str">
        <f>Saisondaten!$C$17</f>
        <v>B</v>
      </c>
      <c r="AG50" s="1">
        <f t="shared" si="27"/>
        <v>0</v>
      </c>
      <c r="AH50" s="1">
        <f t="shared" si="27"/>
        <v>1</v>
      </c>
      <c r="AI50" s="1">
        <f t="shared" si="27"/>
        <v>4</v>
      </c>
      <c r="AJ50" s="1">
        <f t="shared" si="27"/>
        <v>10</v>
      </c>
      <c r="AK50" s="1">
        <f t="shared" si="27"/>
        <v>23</v>
      </c>
      <c r="AL50" s="1">
        <f t="shared" si="29"/>
        <v>1</v>
      </c>
      <c r="AM50" s="1">
        <f t="shared" si="30"/>
        <v>88522225</v>
      </c>
      <c r="AN50" s="1">
        <f t="shared" si="31"/>
        <v>11</v>
      </c>
      <c r="AO50" s="1">
        <f>IF(COUNTIF(AN$40:AN50,AN50)&gt;1,1,0)</f>
        <v>0</v>
      </c>
      <c r="AP50" s="1">
        <f t="shared" si="32"/>
        <v>88522225</v>
      </c>
      <c r="AQ50" s="1">
        <f t="shared" si="33"/>
        <v>11</v>
      </c>
      <c r="AR50" s="1">
        <f>IF(COUNTIF(AQ$40:AQ50,AQ50)&gt;1,1,0)</f>
        <v>0</v>
      </c>
      <c r="AS50" s="1">
        <f t="shared" si="34"/>
        <v>88522225</v>
      </c>
      <c r="AT50" s="1">
        <f t="shared" si="35"/>
        <v>11</v>
      </c>
      <c r="AU50" s="1">
        <f>IF(COUNTIF(AT$40:AT50,AT50)&gt;1,1,0)</f>
        <v>0</v>
      </c>
      <c r="AV50" s="1">
        <f t="shared" si="36"/>
        <v>88522225</v>
      </c>
      <c r="AW50" s="1">
        <f t="shared" si="37"/>
        <v>11</v>
      </c>
      <c r="AX50" s="1">
        <f>IF(COUNTIF(AW$40:AW50,AW50)&gt;1,1,0)</f>
        <v>0</v>
      </c>
      <c r="AY50" s="1">
        <f t="shared" si="38"/>
        <v>88522225</v>
      </c>
      <c r="AZ50" s="1">
        <f t="shared" si="39"/>
        <v>11</v>
      </c>
      <c r="BA50" s="1">
        <f>IF(COUNTIF(AZ$40:AZ50,AZ50)&gt;1,1,0)</f>
        <v>0</v>
      </c>
      <c r="BB50" s="1">
        <f t="shared" si="40"/>
        <v>88522225</v>
      </c>
      <c r="BC50" s="1">
        <f t="shared" si="41"/>
        <v>11</v>
      </c>
      <c r="BD50" s="1">
        <f>IF(COUNTIF(BC$40:BC50,BC50)&gt;1,1,0)</f>
        <v>0</v>
      </c>
      <c r="BE50" s="1">
        <f t="shared" si="42"/>
        <v>88522225</v>
      </c>
      <c r="BF50" s="1">
        <f t="shared" si="43"/>
        <v>11</v>
      </c>
      <c r="BG50" s="1">
        <f>IF(COUNTIF(BF$40:BF50,BF50)&gt;1,1,0)</f>
        <v>0</v>
      </c>
      <c r="BH50" s="1">
        <f t="shared" si="44"/>
        <v>88522225</v>
      </c>
      <c r="BI50" s="1">
        <f t="shared" si="45"/>
        <v>11</v>
      </c>
      <c r="BJ50" s="1">
        <f>IF(COUNTIF(BI$40:BI50,BI50)&gt;1,1,0)</f>
        <v>0</v>
      </c>
      <c r="BK50" s="1">
        <f t="shared" si="46"/>
        <v>88522225</v>
      </c>
      <c r="BL50" s="1">
        <f t="shared" si="47"/>
        <v>11</v>
      </c>
      <c r="BM50" s="1">
        <f>IF(COUNTIF(BL$40:BL50,BL50)&gt;1,1,0)</f>
        <v>0</v>
      </c>
      <c r="BN50" s="1">
        <f t="shared" si="48"/>
        <v>88522225</v>
      </c>
      <c r="BO50" s="1">
        <f t="shared" si="49"/>
        <v>11</v>
      </c>
      <c r="BP50" s="1">
        <f>IF(COUNTIF(BO$40:BO50,BO50)&gt;1,1,0)</f>
        <v>0</v>
      </c>
      <c r="BQ50" s="1">
        <f t="shared" si="50"/>
        <v>88522225</v>
      </c>
      <c r="BR50" s="1">
        <f t="shared" si="51"/>
        <v>11</v>
      </c>
      <c r="BS50" s="1">
        <f>IF(COUNTIF(BR$40:BR50,BR50)&gt;1,1,0)</f>
        <v>0</v>
      </c>
      <c r="BT50" s="1">
        <f t="shared" si="52"/>
        <v>88522225</v>
      </c>
      <c r="BU50" s="1">
        <f t="shared" si="53"/>
        <v>11</v>
      </c>
    </row>
    <row r="51" spans="30:73" ht="16.5">
      <c r="AD51" s="1">
        <f t="shared" si="28"/>
        <v>3</v>
      </c>
      <c r="AE51" s="1" t="str">
        <f t="shared" si="26"/>
        <v>KSVH Berlin</v>
      </c>
      <c r="AF51" s="1" t="str">
        <f>Saisondaten!$C$17</f>
        <v>B</v>
      </c>
      <c r="AG51" s="1">
        <f t="shared" si="27"/>
        <v>4</v>
      </c>
      <c r="AH51" s="1">
        <f t="shared" si="27"/>
        <v>0</v>
      </c>
      <c r="AI51" s="1">
        <f t="shared" si="27"/>
        <v>1</v>
      </c>
      <c r="AJ51" s="1">
        <f t="shared" si="27"/>
        <v>22</v>
      </c>
      <c r="AK51" s="1">
        <f t="shared" si="27"/>
        <v>17</v>
      </c>
      <c r="AL51" s="1">
        <f t="shared" si="29"/>
        <v>12</v>
      </c>
      <c r="AM51" s="1">
        <f t="shared" si="30"/>
        <v>1204615522</v>
      </c>
      <c r="AN51" s="1">
        <f t="shared" si="31"/>
        <v>3</v>
      </c>
      <c r="AO51" s="1">
        <f>IF(COUNTIF(AN$40:AN51,AN51)&gt;1,1,0)</f>
        <v>0</v>
      </c>
      <c r="AP51" s="1">
        <f t="shared" si="32"/>
        <v>1204615522</v>
      </c>
      <c r="AQ51" s="1">
        <f t="shared" si="33"/>
        <v>3</v>
      </c>
      <c r="AR51" s="1">
        <f>IF(COUNTIF(AQ$40:AQ51,AQ51)&gt;1,1,0)</f>
        <v>0</v>
      </c>
      <c r="AS51" s="1">
        <f t="shared" si="34"/>
        <v>1204615522</v>
      </c>
      <c r="AT51" s="1">
        <f t="shared" si="35"/>
        <v>3</v>
      </c>
      <c r="AU51" s="1">
        <f>IF(COUNTIF(AT$40:AT51,AT51)&gt;1,1,0)</f>
        <v>0</v>
      </c>
      <c r="AV51" s="1">
        <f t="shared" si="36"/>
        <v>1204615522</v>
      </c>
      <c r="AW51" s="1">
        <f t="shared" si="37"/>
        <v>3</v>
      </c>
      <c r="AX51" s="1">
        <f>IF(COUNTIF(AW$40:AW51,AW51)&gt;1,1,0)</f>
        <v>0</v>
      </c>
      <c r="AY51" s="1">
        <f t="shared" si="38"/>
        <v>1204615522</v>
      </c>
      <c r="AZ51" s="1">
        <f t="shared" si="39"/>
        <v>3</v>
      </c>
      <c r="BA51" s="1">
        <f>IF(COUNTIF(AZ$40:AZ51,AZ51)&gt;1,1,0)</f>
        <v>0</v>
      </c>
      <c r="BB51" s="1">
        <f t="shared" si="40"/>
        <v>1204615522</v>
      </c>
      <c r="BC51" s="1">
        <f t="shared" si="41"/>
        <v>3</v>
      </c>
      <c r="BD51" s="1">
        <f>IF(COUNTIF(BC$40:BC51,BC51)&gt;1,1,0)</f>
        <v>0</v>
      </c>
      <c r="BE51" s="1">
        <f t="shared" si="42"/>
        <v>1204615522</v>
      </c>
      <c r="BF51" s="1">
        <f t="shared" si="43"/>
        <v>3</v>
      </c>
      <c r="BG51" s="1">
        <f>IF(COUNTIF(BF$40:BF51,BF51)&gt;1,1,0)</f>
        <v>0</v>
      </c>
      <c r="BH51" s="1">
        <f t="shared" si="44"/>
        <v>1204615522</v>
      </c>
      <c r="BI51" s="1">
        <f t="shared" si="45"/>
        <v>3</v>
      </c>
      <c r="BJ51" s="1">
        <f>IF(COUNTIF(BI$40:BI51,BI51)&gt;1,1,0)</f>
        <v>0</v>
      </c>
      <c r="BK51" s="1">
        <f t="shared" si="46"/>
        <v>1204615522</v>
      </c>
      <c r="BL51" s="1">
        <f t="shared" si="47"/>
        <v>3</v>
      </c>
      <c r="BM51" s="1">
        <f>IF(COUNTIF(BL$40:BL51,BL51)&gt;1,1,0)</f>
        <v>0</v>
      </c>
      <c r="BN51" s="1">
        <f t="shared" si="48"/>
        <v>1204615522</v>
      </c>
      <c r="BO51" s="1">
        <f t="shared" si="49"/>
        <v>3</v>
      </c>
      <c r="BP51" s="1">
        <f>IF(COUNTIF(BO$40:BO51,BO51)&gt;1,1,0)</f>
        <v>0</v>
      </c>
      <c r="BQ51" s="1">
        <f t="shared" si="50"/>
        <v>1204615522</v>
      </c>
      <c r="BR51" s="1">
        <f t="shared" si="51"/>
        <v>3</v>
      </c>
      <c r="BS51" s="1">
        <f>IF(COUNTIF(BR$40:BR51,BR51)&gt;1,1,0)</f>
        <v>0</v>
      </c>
      <c r="BT51" s="1">
        <f t="shared" si="52"/>
        <v>1204615522</v>
      </c>
      <c r="BU51" s="1">
        <f t="shared" si="53"/>
        <v>3</v>
      </c>
    </row>
  </sheetData>
  <sheetProtection sheet="1" selectLockedCells="1"/>
  <mergeCells count="14">
    <mergeCell ref="A1:N1"/>
    <mergeCell ref="F6:H6"/>
    <mergeCell ref="I6:K6"/>
    <mergeCell ref="L28:N28"/>
    <mergeCell ref="A3:N3"/>
    <mergeCell ref="A5:N5"/>
    <mergeCell ref="A17:N17"/>
    <mergeCell ref="A25:N25"/>
    <mergeCell ref="A27:N27"/>
    <mergeCell ref="L6:N6"/>
    <mergeCell ref="F28:H28"/>
    <mergeCell ref="I28:K28"/>
    <mergeCell ref="AM39:AP39"/>
    <mergeCell ref="A39:N39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ignoredErrors>
    <ignoredError sqref="H10" formula="1"/>
  </ignoredError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I30" sqref="I30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8.1406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6.281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16384" width="11.421875" style="1" customWidth="1"/>
  </cols>
  <sheetData>
    <row r="1" spans="1:14" ht="38.25" customHeight="1">
      <c r="A1" s="351" t="str">
        <f>"Kanupolo Bundesliga "&amp;Saisondaten!$B$3&amp;""</f>
        <v>Kanupolo Bundesliga 2018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52" t="str">
        <f>"2. Spieltag, Gruppe A und B"&amp;" in "&amp;Saisondaten!$D$9</f>
        <v>2. Spieltag, Gruppe A und B in Berne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7" t="str">
        <f>TEXT(Saisondaten!$B$9,"[$-F800]TTTT, MMMM TT, JJJJ")</f>
        <v>Samstag, 2. Juni 2018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36" ht="16.5">
      <c r="A6" s="10" t="s">
        <v>38</v>
      </c>
      <c r="B6" s="10"/>
      <c r="C6" s="10" t="s">
        <v>39</v>
      </c>
      <c r="D6" s="10" t="s">
        <v>40</v>
      </c>
      <c r="E6" s="10" t="s">
        <v>8</v>
      </c>
      <c r="F6" s="348" t="s">
        <v>7</v>
      </c>
      <c r="G6" s="348"/>
      <c r="H6" s="348"/>
      <c r="I6" s="348" t="s">
        <v>41</v>
      </c>
      <c r="J6" s="348"/>
      <c r="K6" s="348"/>
      <c r="L6" s="348" t="s">
        <v>26</v>
      </c>
      <c r="M6" s="348"/>
      <c r="N6" s="348"/>
      <c r="P6" s="1" t="s">
        <v>68</v>
      </c>
      <c r="Q6" s="1" t="s">
        <v>66</v>
      </c>
      <c r="R6" s="1" t="s">
        <v>54</v>
      </c>
      <c r="S6" s="1" t="s">
        <v>47</v>
      </c>
      <c r="T6" s="1" t="s">
        <v>53</v>
      </c>
      <c r="U6" s="1" t="s">
        <v>50</v>
      </c>
      <c r="V6" s="1" t="s">
        <v>23</v>
      </c>
      <c r="W6" s="1" t="s">
        <v>67</v>
      </c>
      <c r="X6" s="1" t="s">
        <v>54</v>
      </c>
      <c r="Y6" s="1" t="s">
        <v>47</v>
      </c>
      <c r="Z6" s="1" t="s">
        <v>53</v>
      </c>
      <c r="AA6" s="1" t="s">
        <v>50</v>
      </c>
      <c r="AB6" s="1" t="s">
        <v>23</v>
      </c>
      <c r="AE6" s="63" t="s">
        <v>45</v>
      </c>
      <c r="AF6" s="1" t="s">
        <v>54</v>
      </c>
      <c r="AG6" s="1" t="s">
        <v>47</v>
      </c>
      <c r="AH6" s="1" t="s">
        <v>53</v>
      </c>
      <c r="AI6" s="1" t="s">
        <v>50</v>
      </c>
      <c r="AJ6" s="1" t="s">
        <v>23</v>
      </c>
    </row>
    <row r="7" spans="1:36" ht="16.5">
      <c r="A7" s="37">
        <f>'1.Spieltag'!A45+1</f>
        <v>31</v>
      </c>
      <c r="B7" s="37" t="s">
        <v>27</v>
      </c>
      <c r="C7" s="37">
        <v>1</v>
      </c>
      <c r="D7" s="38">
        <v>0.3958333333333333</v>
      </c>
      <c r="E7" s="37" t="s">
        <v>55</v>
      </c>
      <c r="F7" s="37" t="str">
        <f>Saisondaten!$B$18</f>
        <v>KRM Essen</v>
      </c>
      <c r="G7" s="37" t="s">
        <v>43</v>
      </c>
      <c r="H7" s="37" t="str">
        <f>Saisondaten!$C$23</f>
        <v>KSVH Berlin</v>
      </c>
      <c r="I7" s="39">
        <v>7</v>
      </c>
      <c r="J7" s="37" t="s">
        <v>43</v>
      </c>
      <c r="K7" s="39">
        <v>2</v>
      </c>
      <c r="L7" s="195" t="str">
        <f>IF(VLOOKUP(A7,Schiedsrichter!$A$3:$I$176,8,FALSE)=0,"-",VLOOKUP(A7,Schiedsrichter!$A$3:$I$176,8,FALSE))</f>
        <v>KGW Essen</v>
      </c>
      <c r="M7" s="190" t="s">
        <v>249</v>
      </c>
      <c r="N7" s="196" t="str">
        <f>IF(VLOOKUP(A7,Schiedsrichter!$A$3:$I$176,9,FALSE)=0,"-",VLOOKUP(A7,Schiedsrichter!$A$3:$I$176,9,FALSE))</f>
        <v>KCNW Berlin</v>
      </c>
      <c r="P7" s="1">
        <f>IF(OR(I7="",K7=""),"na",1)</f>
        <v>1</v>
      </c>
      <c r="Q7" s="1" t="str">
        <f>F7</f>
        <v>KRM Essen</v>
      </c>
      <c r="R7" s="1">
        <f>IF($P7=1,IF($I7&gt;$K7,1,0),"")</f>
        <v>1</v>
      </c>
      <c r="S7" s="1">
        <f>IF($P7=1,IF($I7=$K7,1,0),"")</f>
        <v>0</v>
      </c>
      <c r="T7" s="1">
        <f>IF($P7=1,IF($I7&lt;$K7,1,0),"")</f>
        <v>0</v>
      </c>
      <c r="U7" s="1">
        <f>IF($P7=1,$I7,"")</f>
        <v>7</v>
      </c>
      <c r="V7" s="1">
        <f>IF($P7=1,$K7,"")</f>
        <v>2</v>
      </c>
      <c r="W7" s="1" t="str">
        <f>H7</f>
        <v>KSVH Berlin</v>
      </c>
      <c r="X7" s="1">
        <f>IF($P7=1,IF($I7&lt;$K7,1,0),"")</f>
        <v>0</v>
      </c>
      <c r="Y7" s="1">
        <f>IF($P7=1,IF($I7=$K7,1,0),"")</f>
        <v>0</v>
      </c>
      <c r="Z7" s="1">
        <f>IF($P7=1,IF($I7&gt;$K7,1,0),"")</f>
        <v>1</v>
      </c>
      <c r="AA7" s="1">
        <f>IF($P7=1,$K7,"")</f>
        <v>2</v>
      </c>
      <c r="AB7" s="1">
        <f>IF($P7=1,$I7,"")</f>
        <v>7</v>
      </c>
      <c r="AE7" s="1" t="str">
        <f>Saisondaten!B18</f>
        <v>KRM Essen</v>
      </c>
      <c r="AF7" s="1">
        <f aca="true" t="shared" si="0" ref="AF7:AF18">SUMIF($Q$7:$Q$45,$AE7,R$7:R$45)</f>
        <v>5</v>
      </c>
      <c r="AG7" s="1">
        <f aca="true" t="shared" si="1" ref="AG7:AG18">SUMIF($Q$7:$Q$45,$AE7,S$7:S$45)</f>
        <v>0</v>
      </c>
      <c r="AH7" s="1">
        <f aca="true" t="shared" si="2" ref="AH7:AH18">SUMIF($Q$7:$Q$45,$AE7,T$7:T$45)</f>
        <v>1</v>
      </c>
      <c r="AI7" s="1">
        <f aca="true" t="shared" si="3" ref="AI7:AI18">SUMIF($Q$7:$Q$45,$AE7,U$7:U$45)</f>
        <v>35</v>
      </c>
      <c r="AJ7" s="1">
        <f aca="true" t="shared" si="4" ref="AJ7:AJ18">SUMIF($Q$7:$Q$45,$AE7,V$7:V$45)</f>
        <v>17</v>
      </c>
    </row>
    <row r="8" spans="1:36" ht="16.5">
      <c r="A8" s="13">
        <f>A7+1</f>
        <v>32</v>
      </c>
      <c r="B8" s="13" t="s">
        <v>27</v>
      </c>
      <c r="C8" s="13">
        <v>2</v>
      </c>
      <c r="D8" s="14">
        <v>0.3958333333333333</v>
      </c>
      <c r="E8" s="13" t="s">
        <v>55</v>
      </c>
      <c r="F8" s="13" t="str">
        <f>Saisondaten!$B$19</f>
        <v>WSF Liblar</v>
      </c>
      <c r="G8" s="13" t="s">
        <v>43</v>
      </c>
      <c r="H8" s="13" t="str">
        <f>Saisondaten!$C$22</f>
        <v>KSV Glauchau</v>
      </c>
      <c r="I8" s="20">
        <v>4</v>
      </c>
      <c r="J8" s="13" t="s">
        <v>43</v>
      </c>
      <c r="K8" s="20">
        <v>0</v>
      </c>
      <c r="L8" s="179" t="str">
        <f>IF(VLOOKUP(A8,Schiedsrichter!$A$3:$I$176,8,FALSE)=0,"-",VLOOKUP(A8,Schiedsrichter!$A$3:$I$176,8,FALSE))</f>
        <v>Göttinger PC</v>
      </c>
      <c r="M8" s="175" t="s">
        <v>249</v>
      </c>
      <c r="N8" s="185" t="str">
        <f>IF(VLOOKUP(A8,Schiedsrichter!$A$3:$I$176,9,FALSE)=0,"-",VLOOKUP(A8,Schiedsrichter!$A$3:$I$176,9,FALSE))</f>
        <v>ACC Hamburg</v>
      </c>
      <c r="P8" s="1">
        <f aca="true" t="shared" si="5" ref="P8:P45">IF(OR(I8="",K8=""),"na",1)</f>
        <v>1</v>
      </c>
      <c r="Q8" s="1" t="str">
        <f>F8</f>
        <v>WSF Liblar</v>
      </c>
      <c r="R8" s="1">
        <f aca="true" t="shared" si="6" ref="R8:R45">IF($P8=1,IF($I8&gt;$K8,1,0),"")</f>
        <v>1</v>
      </c>
      <c r="S8" s="1">
        <f aca="true" t="shared" si="7" ref="S8:S45">IF($P8=1,IF($I8=$K8,1,0),"")</f>
        <v>0</v>
      </c>
      <c r="T8" s="1">
        <f aca="true" t="shared" si="8" ref="T8:T45">IF($P8=1,IF($I8&lt;$K8,1,0),"")</f>
        <v>0</v>
      </c>
      <c r="U8" s="1">
        <f aca="true" t="shared" si="9" ref="U8:U45">IF($P8=1,$I8,"")</f>
        <v>4</v>
      </c>
      <c r="V8" s="1">
        <f aca="true" t="shared" si="10" ref="V8:V45">IF($P8=1,$K8,"")</f>
        <v>0</v>
      </c>
      <c r="W8" s="1" t="str">
        <f aca="true" t="shared" si="11" ref="W8:W45">H8</f>
        <v>KSV Glauchau</v>
      </c>
      <c r="X8" s="1">
        <f aca="true" t="shared" si="12" ref="X8:X45">IF($P8=1,IF($I8&lt;$K8,1,0),"")</f>
        <v>0</v>
      </c>
      <c r="Y8" s="1">
        <f aca="true" t="shared" si="13" ref="Y8:Y45">IF($P8=1,IF($I8=$K8,1,0),"")</f>
        <v>0</v>
      </c>
      <c r="Z8" s="1">
        <f aca="true" t="shared" si="14" ref="Z8:Z45">IF($P8=1,IF($I8&gt;$K8,1,0),"")</f>
        <v>1</v>
      </c>
      <c r="AA8" s="1">
        <f aca="true" t="shared" si="15" ref="AA8:AA45">IF($P8=1,$K8,"")</f>
        <v>0</v>
      </c>
      <c r="AB8" s="1">
        <f aca="true" t="shared" si="16" ref="AB8:AB45">IF($P8=1,$I8,"")</f>
        <v>4</v>
      </c>
      <c r="AE8" s="1" t="str">
        <f>Saisondaten!B19</f>
        <v>WSF Liblar</v>
      </c>
      <c r="AF8" s="1">
        <f t="shared" si="0"/>
        <v>6</v>
      </c>
      <c r="AG8" s="1">
        <f t="shared" si="1"/>
        <v>0</v>
      </c>
      <c r="AH8" s="1">
        <f t="shared" si="2"/>
        <v>0</v>
      </c>
      <c r="AI8" s="1">
        <f t="shared" si="3"/>
        <v>27</v>
      </c>
      <c r="AJ8" s="1">
        <f t="shared" si="4"/>
        <v>9</v>
      </c>
    </row>
    <row r="9" spans="1:36" ht="16.5">
      <c r="A9" s="34">
        <f aca="true" t="shared" si="17" ref="A9:A30">A8+1</f>
        <v>33</v>
      </c>
      <c r="B9" s="34" t="s">
        <v>27</v>
      </c>
      <c r="C9" s="34">
        <v>1</v>
      </c>
      <c r="D9" s="35">
        <v>0.4270833333333333</v>
      </c>
      <c r="E9" s="34" t="s">
        <v>55</v>
      </c>
      <c r="F9" s="34" t="str">
        <f>Saisondaten!$B$20</f>
        <v>1. MKC Duisburg</v>
      </c>
      <c r="G9" s="34" t="s">
        <v>43</v>
      </c>
      <c r="H9" s="34" t="str">
        <f>Saisondaten!$C$21</f>
        <v>VK Berlin</v>
      </c>
      <c r="I9" s="36">
        <v>7</v>
      </c>
      <c r="J9" s="34" t="s">
        <v>43</v>
      </c>
      <c r="K9" s="36">
        <v>2</v>
      </c>
      <c r="L9" s="194" t="str">
        <f>IF(VLOOKUP(A9,Schiedsrichter!$A$3:$I$176,8,FALSE)=0,"-",VLOOKUP(A9,Schiedsrichter!$A$3:$I$176,8,FALSE))</f>
        <v>KRM Essen</v>
      </c>
      <c r="M9" s="199" t="s">
        <v>249</v>
      </c>
      <c r="N9" s="197" t="str">
        <f>IF(VLOOKUP(A9,Schiedsrichter!$A$3:$I$176,9,FALSE)=0,"-",VLOOKUP(A9,Schiedsrichter!$A$3:$I$176,9,FALSE))</f>
        <v>KSVH Berlin</v>
      </c>
      <c r="P9" s="1">
        <f t="shared" si="5"/>
        <v>1</v>
      </c>
      <c r="Q9" s="1" t="str">
        <f aca="true" t="shared" si="18" ref="Q9:Q45">F9</f>
        <v>1. MKC Duisburg</v>
      </c>
      <c r="R9" s="1">
        <f t="shared" si="6"/>
        <v>1</v>
      </c>
      <c r="S9" s="1">
        <f t="shared" si="7"/>
        <v>0</v>
      </c>
      <c r="T9" s="1">
        <f t="shared" si="8"/>
        <v>0</v>
      </c>
      <c r="U9" s="1">
        <f t="shared" si="9"/>
        <v>7</v>
      </c>
      <c r="V9" s="1">
        <f t="shared" si="10"/>
        <v>2</v>
      </c>
      <c r="W9" s="1" t="str">
        <f t="shared" si="11"/>
        <v>VK Berlin</v>
      </c>
      <c r="X9" s="1">
        <f t="shared" si="12"/>
        <v>0</v>
      </c>
      <c r="Y9" s="1">
        <f t="shared" si="13"/>
        <v>0</v>
      </c>
      <c r="Z9" s="1">
        <f t="shared" si="14"/>
        <v>1</v>
      </c>
      <c r="AA9" s="1">
        <f t="shared" si="15"/>
        <v>2</v>
      </c>
      <c r="AB9" s="1">
        <f t="shared" si="16"/>
        <v>7</v>
      </c>
      <c r="AE9" s="1" t="str">
        <f>Saisondaten!B20</f>
        <v>1. MKC Duisburg</v>
      </c>
      <c r="AF9" s="1">
        <f t="shared" si="0"/>
        <v>2</v>
      </c>
      <c r="AG9" s="1">
        <f t="shared" si="1"/>
        <v>2</v>
      </c>
      <c r="AH9" s="1">
        <f t="shared" si="2"/>
        <v>2</v>
      </c>
      <c r="AI9" s="1">
        <f t="shared" si="3"/>
        <v>21</v>
      </c>
      <c r="AJ9" s="1">
        <f t="shared" si="4"/>
        <v>18</v>
      </c>
    </row>
    <row r="10" spans="1:36" ht="16.5">
      <c r="A10" s="34">
        <f t="shared" si="17"/>
        <v>34</v>
      </c>
      <c r="B10" s="34" t="s">
        <v>27</v>
      </c>
      <c r="C10" s="34">
        <v>2</v>
      </c>
      <c r="D10" s="35">
        <v>0.4270833333333333</v>
      </c>
      <c r="E10" s="34" t="s">
        <v>55</v>
      </c>
      <c r="F10" s="34" t="str">
        <f>Saisondaten!$B$21</f>
        <v>KC Wetter</v>
      </c>
      <c r="G10" s="34" t="s">
        <v>43</v>
      </c>
      <c r="H10" s="34" t="str">
        <f>Saisondaten!$C$20</f>
        <v>RSV Hannover</v>
      </c>
      <c r="I10" s="36">
        <v>3</v>
      </c>
      <c r="J10" s="34" t="s">
        <v>43</v>
      </c>
      <c r="K10" s="36">
        <v>4</v>
      </c>
      <c r="L10" s="194" t="str">
        <f>IF(VLOOKUP(A10,Schiedsrichter!$A$3:$I$176,8,FALSE)=0,"-",VLOOKUP(A10,Schiedsrichter!$A$3:$I$176,8,FALSE))</f>
        <v>WSF Liblar</v>
      </c>
      <c r="M10" s="199" t="s">
        <v>249</v>
      </c>
      <c r="N10" s="197" t="str">
        <f>IF(VLOOKUP(A10,Schiedsrichter!$A$3:$I$176,9,FALSE)=0,"-",VLOOKUP(A10,Schiedsrichter!$A$3:$I$176,9,FALSE))</f>
        <v>KSV Glauchau</v>
      </c>
      <c r="P10" s="1">
        <f t="shared" si="5"/>
        <v>1</v>
      </c>
      <c r="Q10" s="1" t="str">
        <f t="shared" si="18"/>
        <v>KC Wetter</v>
      </c>
      <c r="R10" s="1">
        <f t="shared" si="6"/>
        <v>0</v>
      </c>
      <c r="S10" s="1">
        <f t="shared" si="7"/>
        <v>0</v>
      </c>
      <c r="T10" s="1">
        <f t="shared" si="8"/>
        <v>1</v>
      </c>
      <c r="U10" s="1">
        <f t="shared" si="9"/>
        <v>3</v>
      </c>
      <c r="V10" s="1">
        <f t="shared" si="10"/>
        <v>4</v>
      </c>
      <c r="W10" s="1" t="str">
        <f t="shared" si="11"/>
        <v>RSV Hannover</v>
      </c>
      <c r="X10" s="1">
        <f t="shared" si="12"/>
        <v>1</v>
      </c>
      <c r="Y10" s="1">
        <f t="shared" si="13"/>
        <v>0</v>
      </c>
      <c r="Z10" s="1">
        <f t="shared" si="14"/>
        <v>0</v>
      </c>
      <c r="AA10" s="1">
        <f t="shared" si="15"/>
        <v>4</v>
      </c>
      <c r="AB10" s="1">
        <f t="shared" si="16"/>
        <v>3</v>
      </c>
      <c r="AE10" s="1" t="str">
        <f>Saisondaten!B21</f>
        <v>KC Wetter</v>
      </c>
      <c r="AF10" s="1">
        <f t="shared" si="0"/>
        <v>1</v>
      </c>
      <c r="AG10" s="1">
        <f t="shared" si="1"/>
        <v>0</v>
      </c>
      <c r="AH10" s="1">
        <f t="shared" si="2"/>
        <v>5</v>
      </c>
      <c r="AI10" s="1">
        <f t="shared" si="3"/>
        <v>13</v>
      </c>
      <c r="AJ10" s="1">
        <f t="shared" si="4"/>
        <v>28</v>
      </c>
    </row>
    <row r="11" spans="1:36" ht="16.5">
      <c r="A11" s="13">
        <f t="shared" si="17"/>
        <v>35</v>
      </c>
      <c r="B11" s="13" t="s">
        <v>27</v>
      </c>
      <c r="C11" s="13">
        <v>1</v>
      </c>
      <c r="D11" s="14">
        <v>0.4583333333333333</v>
      </c>
      <c r="E11" s="13" t="s">
        <v>55</v>
      </c>
      <c r="F11" s="13" t="str">
        <f>Saisondaten!$B$22</f>
        <v>KGW Essen</v>
      </c>
      <c r="G11" s="13" t="s">
        <v>43</v>
      </c>
      <c r="H11" s="13" t="str">
        <f>Saisondaten!$C$19</f>
        <v>KCNW Berlin</v>
      </c>
      <c r="I11" s="20">
        <v>1</v>
      </c>
      <c r="J11" s="13" t="s">
        <v>43</v>
      </c>
      <c r="K11" s="20">
        <v>5</v>
      </c>
      <c r="L11" s="179" t="str">
        <f>IF(VLOOKUP(A11,Schiedsrichter!$A$3:$I$176,8,FALSE)=0,"-",VLOOKUP(A11,Schiedsrichter!$A$3:$I$176,8,FALSE))</f>
        <v>1. MKC Duisburg</v>
      </c>
      <c r="M11" s="175" t="s">
        <v>249</v>
      </c>
      <c r="N11" s="185" t="str">
        <f>IF(VLOOKUP(A11,Schiedsrichter!$A$3:$I$176,9,FALSE)=0,"-",VLOOKUP(A11,Schiedsrichter!$A$3:$I$176,9,FALSE))</f>
        <v>VK Berlin</v>
      </c>
      <c r="P11" s="1">
        <f t="shared" si="5"/>
        <v>1</v>
      </c>
      <c r="Q11" s="1" t="str">
        <f t="shared" si="18"/>
        <v>KGW Essen</v>
      </c>
      <c r="R11" s="1">
        <f t="shared" si="6"/>
        <v>0</v>
      </c>
      <c r="S11" s="1">
        <f t="shared" si="7"/>
        <v>0</v>
      </c>
      <c r="T11" s="1">
        <f t="shared" si="8"/>
        <v>1</v>
      </c>
      <c r="U11" s="1">
        <f t="shared" si="9"/>
        <v>1</v>
      </c>
      <c r="V11" s="1">
        <f t="shared" si="10"/>
        <v>5</v>
      </c>
      <c r="W11" s="1" t="str">
        <f t="shared" si="11"/>
        <v>KCNW Berlin</v>
      </c>
      <c r="X11" s="1">
        <f t="shared" si="12"/>
        <v>1</v>
      </c>
      <c r="Y11" s="1">
        <f t="shared" si="13"/>
        <v>0</v>
      </c>
      <c r="Z11" s="1">
        <f t="shared" si="14"/>
        <v>0</v>
      </c>
      <c r="AA11" s="1">
        <f t="shared" si="15"/>
        <v>5</v>
      </c>
      <c r="AB11" s="1">
        <f t="shared" si="16"/>
        <v>1</v>
      </c>
      <c r="AE11" s="1" t="str">
        <f>Saisondaten!B22</f>
        <v>KGW Essen</v>
      </c>
      <c r="AF11" s="1">
        <f t="shared" si="0"/>
        <v>2</v>
      </c>
      <c r="AG11" s="1">
        <f t="shared" si="1"/>
        <v>2</v>
      </c>
      <c r="AH11" s="1">
        <f t="shared" si="2"/>
        <v>2</v>
      </c>
      <c r="AI11" s="1">
        <f t="shared" si="3"/>
        <v>12</v>
      </c>
      <c r="AJ11" s="1">
        <f t="shared" si="4"/>
        <v>17</v>
      </c>
    </row>
    <row r="12" spans="1:36" ht="16.5">
      <c r="A12" s="13">
        <f t="shared" si="17"/>
        <v>36</v>
      </c>
      <c r="B12" s="13" t="s">
        <v>27</v>
      </c>
      <c r="C12" s="13">
        <v>2</v>
      </c>
      <c r="D12" s="14">
        <v>0.4583333333333333</v>
      </c>
      <c r="E12" s="13" t="s">
        <v>55</v>
      </c>
      <c r="F12" s="13" t="str">
        <f>Saisondaten!$B$23</f>
        <v>Göttinger PC</v>
      </c>
      <c r="G12" s="13" t="s">
        <v>43</v>
      </c>
      <c r="H12" s="13" t="str">
        <f>Saisondaten!$C$18</f>
        <v>ACC Hamburg</v>
      </c>
      <c r="I12" s="20">
        <v>4</v>
      </c>
      <c r="J12" s="13" t="s">
        <v>43</v>
      </c>
      <c r="K12" s="20">
        <v>6</v>
      </c>
      <c r="L12" s="179" t="str">
        <f>IF(VLOOKUP(A12,Schiedsrichter!$A$3:$I$176,8,FALSE)=0,"-",VLOOKUP(A12,Schiedsrichter!$A$3:$I$176,8,FALSE))</f>
        <v>KC Wetter</v>
      </c>
      <c r="M12" s="175" t="s">
        <v>249</v>
      </c>
      <c r="N12" s="185" t="str">
        <f>IF(VLOOKUP(A12,Schiedsrichter!$A$3:$I$176,9,FALSE)=0,"-",VLOOKUP(A12,Schiedsrichter!$A$3:$I$176,9,FALSE))</f>
        <v>RSV Hannover</v>
      </c>
      <c r="P12" s="1">
        <f t="shared" si="5"/>
        <v>1</v>
      </c>
      <c r="Q12" s="1" t="str">
        <f t="shared" si="18"/>
        <v>Göttinger PC</v>
      </c>
      <c r="R12" s="1">
        <f t="shared" si="6"/>
        <v>0</v>
      </c>
      <c r="S12" s="1">
        <f t="shared" si="7"/>
        <v>0</v>
      </c>
      <c r="T12" s="1">
        <f t="shared" si="8"/>
        <v>1</v>
      </c>
      <c r="U12" s="1">
        <f t="shared" si="9"/>
        <v>4</v>
      </c>
      <c r="V12" s="1">
        <f t="shared" si="10"/>
        <v>6</v>
      </c>
      <c r="W12" s="1" t="str">
        <f t="shared" si="11"/>
        <v>ACC Hamburg</v>
      </c>
      <c r="X12" s="1">
        <f t="shared" si="12"/>
        <v>1</v>
      </c>
      <c r="Y12" s="1">
        <f t="shared" si="13"/>
        <v>0</v>
      </c>
      <c r="Z12" s="1">
        <f t="shared" si="14"/>
        <v>0</v>
      </c>
      <c r="AA12" s="1">
        <f t="shared" si="15"/>
        <v>6</v>
      </c>
      <c r="AB12" s="1">
        <f t="shared" si="16"/>
        <v>4</v>
      </c>
      <c r="AE12" s="1" t="str">
        <f>Saisondaten!B23</f>
        <v>Göttinger PC</v>
      </c>
      <c r="AF12" s="1">
        <f t="shared" si="0"/>
        <v>1</v>
      </c>
      <c r="AG12" s="1">
        <f t="shared" si="1"/>
        <v>0</v>
      </c>
      <c r="AH12" s="1">
        <f t="shared" si="2"/>
        <v>5</v>
      </c>
      <c r="AI12" s="1">
        <f t="shared" si="3"/>
        <v>22</v>
      </c>
      <c r="AJ12" s="1">
        <f t="shared" si="4"/>
        <v>35</v>
      </c>
    </row>
    <row r="13" spans="1:36" ht="16.5">
      <c r="A13" s="34">
        <f t="shared" si="17"/>
        <v>37</v>
      </c>
      <c r="B13" s="34" t="s">
        <v>27</v>
      </c>
      <c r="C13" s="34">
        <v>1</v>
      </c>
      <c r="D13" s="35">
        <v>0.4895833333333333</v>
      </c>
      <c r="E13" s="34" t="s">
        <v>55</v>
      </c>
      <c r="F13" s="34" t="str">
        <f>Saisondaten!$B$18</f>
        <v>KRM Essen</v>
      </c>
      <c r="G13" s="34" t="s">
        <v>43</v>
      </c>
      <c r="H13" s="34" t="str">
        <f>Saisondaten!$C$22</f>
        <v>KSV Glauchau</v>
      </c>
      <c r="I13" s="36">
        <v>12</v>
      </c>
      <c r="J13" s="34" t="s">
        <v>43</v>
      </c>
      <c r="K13" s="36">
        <v>4</v>
      </c>
      <c r="L13" s="194" t="str">
        <f>IF(VLOOKUP(A13,Schiedsrichter!$A$3:$I$176,8,FALSE)=0,"-",VLOOKUP(A13,Schiedsrichter!$A$3:$I$176,8,FALSE))</f>
        <v>ACC Hamburg</v>
      </c>
      <c r="M13" s="199" t="s">
        <v>249</v>
      </c>
      <c r="N13" s="197" t="str">
        <f>IF(VLOOKUP(A13,Schiedsrichter!$A$3:$I$176,9,FALSE)=0,"-",VLOOKUP(A13,Schiedsrichter!$A$3:$I$176,9,FALSE))</f>
        <v>Göttinger PC</v>
      </c>
      <c r="P13" s="1">
        <f t="shared" si="5"/>
        <v>1</v>
      </c>
      <c r="Q13" s="1" t="str">
        <f t="shared" si="18"/>
        <v>KRM Essen</v>
      </c>
      <c r="R13" s="1">
        <f t="shared" si="6"/>
        <v>1</v>
      </c>
      <c r="S13" s="1">
        <f t="shared" si="7"/>
        <v>0</v>
      </c>
      <c r="T13" s="1">
        <f t="shared" si="8"/>
        <v>0</v>
      </c>
      <c r="U13" s="1">
        <f t="shared" si="9"/>
        <v>12</v>
      </c>
      <c r="V13" s="1">
        <f t="shared" si="10"/>
        <v>4</v>
      </c>
      <c r="W13" s="1" t="str">
        <f t="shared" si="11"/>
        <v>KSV Glauchau</v>
      </c>
      <c r="X13" s="1">
        <f t="shared" si="12"/>
        <v>0</v>
      </c>
      <c r="Y13" s="1">
        <f t="shared" si="13"/>
        <v>0</v>
      </c>
      <c r="Z13" s="1">
        <f t="shared" si="14"/>
        <v>1</v>
      </c>
      <c r="AA13" s="1">
        <f t="shared" si="15"/>
        <v>4</v>
      </c>
      <c r="AB13" s="1">
        <f t="shared" si="16"/>
        <v>12</v>
      </c>
      <c r="AE13" s="1" t="str">
        <f>Saisondaten!C18</f>
        <v>ACC Hamburg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f t="shared" si="3"/>
        <v>0</v>
      </c>
      <c r="AJ13" s="1">
        <f t="shared" si="4"/>
        <v>0</v>
      </c>
    </row>
    <row r="14" spans="1:36" ht="16.5">
      <c r="A14" s="34">
        <f t="shared" si="17"/>
        <v>38</v>
      </c>
      <c r="B14" s="34" t="s">
        <v>27</v>
      </c>
      <c r="C14" s="34">
        <v>2</v>
      </c>
      <c r="D14" s="35">
        <v>0.4895833333333333</v>
      </c>
      <c r="E14" s="34" t="s">
        <v>55</v>
      </c>
      <c r="F14" s="34" t="str">
        <f>Saisondaten!$B$19</f>
        <v>WSF Liblar</v>
      </c>
      <c r="G14" s="34" t="s">
        <v>43</v>
      </c>
      <c r="H14" s="34" t="str">
        <f>Saisondaten!$C$23</f>
        <v>KSVH Berlin</v>
      </c>
      <c r="I14" s="36">
        <v>5</v>
      </c>
      <c r="J14" s="34" t="s">
        <v>43</v>
      </c>
      <c r="K14" s="36">
        <v>1</v>
      </c>
      <c r="L14" s="194" t="str">
        <f>IF(VLOOKUP(A14,Schiedsrichter!$A$3:$I$176,8,FALSE)=0,"-",VLOOKUP(A14,Schiedsrichter!$A$3:$I$176,8,FALSE))</f>
        <v>KCNW Berlin</v>
      </c>
      <c r="M14" s="199" t="s">
        <v>249</v>
      </c>
      <c r="N14" s="197" t="str">
        <f>IF(VLOOKUP(A14,Schiedsrichter!$A$3:$I$176,9,FALSE)=0,"-",VLOOKUP(A14,Schiedsrichter!$A$3:$I$176,9,FALSE))</f>
        <v>KGW Essen</v>
      </c>
      <c r="P14" s="1">
        <f t="shared" si="5"/>
        <v>1</v>
      </c>
      <c r="Q14" s="1" t="str">
        <f t="shared" si="18"/>
        <v>WSF Liblar</v>
      </c>
      <c r="R14" s="1">
        <f t="shared" si="6"/>
        <v>1</v>
      </c>
      <c r="S14" s="1">
        <f t="shared" si="7"/>
        <v>0</v>
      </c>
      <c r="T14" s="1">
        <f t="shared" si="8"/>
        <v>0</v>
      </c>
      <c r="U14" s="1">
        <f t="shared" si="9"/>
        <v>5</v>
      </c>
      <c r="V14" s="1">
        <f t="shared" si="10"/>
        <v>1</v>
      </c>
      <c r="W14" s="1" t="str">
        <f t="shared" si="11"/>
        <v>KSVH Berlin</v>
      </c>
      <c r="X14" s="1">
        <f t="shared" si="12"/>
        <v>0</v>
      </c>
      <c r="Y14" s="1">
        <f t="shared" si="13"/>
        <v>0</v>
      </c>
      <c r="Z14" s="1">
        <f t="shared" si="14"/>
        <v>1</v>
      </c>
      <c r="AA14" s="1">
        <f t="shared" si="15"/>
        <v>1</v>
      </c>
      <c r="AB14" s="1">
        <f t="shared" si="16"/>
        <v>5</v>
      </c>
      <c r="AE14" s="1" t="str">
        <f>Saisondaten!C19</f>
        <v>KCNW Berlin</v>
      </c>
      <c r="AF14" s="1">
        <f t="shared" si="0"/>
        <v>0</v>
      </c>
      <c r="AG14" s="1">
        <f t="shared" si="1"/>
        <v>0</v>
      </c>
      <c r="AH14" s="1">
        <f t="shared" si="2"/>
        <v>0</v>
      </c>
      <c r="AI14" s="1">
        <f t="shared" si="3"/>
        <v>0</v>
      </c>
      <c r="AJ14" s="1">
        <f t="shared" si="4"/>
        <v>0</v>
      </c>
    </row>
    <row r="15" spans="1:36" ht="16.5">
      <c r="A15" s="13">
        <f t="shared" si="17"/>
        <v>39</v>
      </c>
      <c r="B15" s="13" t="s">
        <v>27</v>
      </c>
      <c r="C15" s="13">
        <v>1</v>
      </c>
      <c r="D15" s="14">
        <v>0.5208333333333333</v>
      </c>
      <c r="E15" s="13" t="s">
        <v>55</v>
      </c>
      <c r="F15" s="13" t="str">
        <f>Saisondaten!$B$20</f>
        <v>1. MKC Duisburg</v>
      </c>
      <c r="G15" s="13" t="s">
        <v>43</v>
      </c>
      <c r="H15" s="13" t="str">
        <f>Saisondaten!$C$20</f>
        <v>RSV Hannover</v>
      </c>
      <c r="I15" s="20">
        <v>2</v>
      </c>
      <c r="J15" s="13" t="s">
        <v>43</v>
      </c>
      <c r="K15" s="20">
        <v>4</v>
      </c>
      <c r="L15" s="179" t="str">
        <f>IF(VLOOKUP(A15,Schiedsrichter!$A$3:$I$176,8,FALSE)=0,"-",VLOOKUP(A15,Schiedsrichter!$A$3:$I$176,8,FALSE))</f>
        <v>ACC Hamburg</v>
      </c>
      <c r="M15" s="175" t="s">
        <v>249</v>
      </c>
      <c r="N15" s="185" t="str">
        <f>IF(VLOOKUP(A15,Schiedsrichter!$A$3:$I$176,9,FALSE)=0,"-",VLOOKUP(A15,Schiedsrichter!$A$3:$I$176,9,FALSE))</f>
        <v>WSF Liblar</v>
      </c>
      <c r="P15" s="1">
        <f t="shared" si="5"/>
        <v>1</v>
      </c>
      <c r="Q15" s="1" t="str">
        <f t="shared" si="18"/>
        <v>1. MKC Duisburg</v>
      </c>
      <c r="R15" s="1">
        <f t="shared" si="6"/>
        <v>0</v>
      </c>
      <c r="S15" s="1">
        <f t="shared" si="7"/>
        <v>0</v>
      </c>
      <c r="T15" s="1">
        <f t="shared" si="8"/>
        <v>1</v>
      </c>
      <c r="U15" s="1">
        <f t="shared" si="9"/>
        <v>2</v>
      </c>
      <c r="V15" s="1">
        <f t="shared" si="10"/>
        <v>4</v>
      </c>
      <c r="W15" s="1" t="str">
        <f t="shared" si="11"/>
        <v>RSV Hannover</v>
      </c>
      <c r="X15" s="1">
        <f t="shared" si="12"/>
        <v>1</v>
      </c>
      <c r="Y15" s="1">
        <f t="shared" si="13"/>
        <v>0</v>
      </c>
      <c r="Z15" s="1">
        <f t="shared" si="14"/>
        <v>0</v>
      </c>
      <c r="AA15" s="1">
        <f t="shared" si="15"/>
        <v>4</v>
      </c>
      <c r="AB15" s="1">
        <f t="shared" si="16"/>
        <v>2</v>
      </c>
      <c r="AE15" s="1" t="str">
        <f>Saisondaten!C20</f>
        <v>RSV Hannover</v>
      </c>
      <c r="AF15" s="1">
        <f t="shared" si="0"/>
        <v>0</v>
      </c>
      <c r="AG15" s="1">
        <f t="shared" si="1"/>
        <v>0</v>
      </c>
      <c r="AH15" s="1">
        <f t="shared" si="2"/>
        <v>0</v>
      </c>
      <c r="AI15" s="1">
        <f t="shared" si="3"/>
        <v>0</v>
      </c>
      <c r="AJ15" s="1">
        <f t="shared" si="4"/>
        <v>0</v>
      </c>
    </row>
    <row r="16" spans="1:36" ht="16.5">
      <c r="A16" s="13">
        <f t="shared" si="17"/>
        <v>40</v>
      </c>
      <c r="B16" s="13" t="s">
        <v>27</v>
      </c>
      <c r="C16" s="13">
        <v>2</v>
      </c>
      <c r="D16" s="14">
        <v>0.5208333333333333</v>
      </c>
      <c r="E16" s="13" t="s">
        <v>55</v>
      </c>
      <c r="F16" s="13" t="str">
        <f>Saisondaten!$B$21</f>
        <v>KC Wetter</v>
      </c>
      <c r="G16" s="13" t="s">
        <v>43</v>
      </c>
      <c r="H16" s="13" t="str">
        <f>Saisondaten!$C$21</f>
        <v>VK Berlin</v>
      </c>
      <c r="I16" s="20">
        <v>3</v>
      </c>
      <c r="J16" s="13" t="s">
        <v>43</v>
      </c>
      <c r="K16" s="20">
        <v>4</v>
      </c>
      <c r="L16" s="179" t="str">
        <f>IF(VLOOKUP(A16,Schiedsrichter!$A$3:$I$176,8,FALSE)=0,"-",VLOOKUP(A16,Schiedsrichter!$A$3:$I$176,8,FALSE))</f>
        <v>KCNW Berlin</v>
      </c>
      <c r="M16" s="175" t="s">
        <v>249</v>
      </c>
      <c r="N16" s="185" t="str">
        <f>IF(VLOOKUP(A16,Schiedsrichter!$A$3:$I$176,9,FALSE)=0,"-",VLOOKUP(A16,Schiedsrichter!$A$3:$I$176,9,FALSE))</f>
        <v>KRM Essen</v>
      </c>
      <c r="P16" s="1">
        <f t="shared" si="5"/>
        <v>1</v>
      </c>
      <c r="Q16" s="1" t="str">
        <f t="shared" si="18"/>
        <v>KC Wetter</v>
      </c>
      <c r="R16" s="1">
        <f t="shared" si="6"/>
        <v>0</v>
      </c>
      <c r="S16" s="1">
        <f t="shared" si="7"/>
        <v>0</v>
      </c>
      <c r="T16" s="1">
        <f t="shared" si="8"/>
        <v>1</v>
      </c>
      <c r="U16" s="1">
        <f t="shared" si="9"/>
        <v>3</v>
      </c>
      <c r="V16" s="1">
        <f t="shared" si="10"/>
        <v>4</v>
      </c>
      <c r="W16" s="1" t="str">
        <f t="shared" si="11"/>
        <v>VK Berlin</v>
      </c>
      <c r="X16" s="1">
        <f t="shared" si="12"/>
        <v>1</v>
      </c>
      <c r="Y16" s="1">
        <f t="shared" si="13"/>
        <v>0</v>
      </c>
      <c r="Z16" s="1">
        <f t="shared" si="14"/>
        <v>0</v>
      </c>
      <c r="AA16" s="1">
        <f t="shared" si="15"/>
        <v>4</v>
      </c>
      <c r="AB16" s="1">
        <f t="shared" si="16"/>
        <v>3</v>
      </c>
      <c r="AE16" s="1" t="str">
        <f>Saisondaten!C21</f>
        <v>VK Berlin</v>
      </c>
      <c r="AF16" s="1">
        <f t="shared" si="0"/>
        <v>0</v>
      </c>
      <c r="AG16" s="1">
        <f t="shared" si="1"/>
        <v>0</v>
      </c>
      <c r="AH16" s="1">
        <f t="shared" si="2"/>
        <v>0</v>
      </c>
      <c r="AI16" s="1">
        <f t="shared" si="3"/>
        <v>0</v>
      </c>
      <c r="AJ16" s="1">
        <f t="shared" si="4"/>
        <v>0</v>
      </c>
    </row>
    <row r="17" spans="1:36" ht="16.5">
      <c r="A17" s="34">
        <f t="shared" si="17"/>
        <v>41</v>
      </c>
      <c r="B17" s="34" t="s">
        <v>27</v>
      </c>
      <c r="C17" s="34">
        <v>1</v>
      </c>
      <c r="D17" s="35">
        <v>0.5625</v>
      </c>
      <c r="E17" s="34" t="s">
        <v>55</v>
      </c>
      <c r="F17" s="34" t="str">
        <f>Saisondaten!$B$22</f>
        <v>KGW Essen</v>
      </c>
      <c r="G17" s="34" t="s">
        <v>43</v>
      </c>
      <c r="H17" s="34" t="str">
        <f>Saisondaten!$C$18</f>
        <v>ACC Hamburg</v>
      </c>
      <c r="I17" s="36">
        <v>1</v>
      </c>
      <c r="J17" s="34" t="s">
        <v>43</v>
      </c>
      <c r="K17" s="36">
        <v>4</v>
      </c>
      <c r="L17" s="194" t="str">
        <f>IF(VLOOKUP(A17,Schiedsrichter!$A$3:$I$176,8,FALSE)=0,"-",VLOOKUP(A17,Schiedsrichter!$A$3:$I$176,8,FALSE))</f>
        <v>KSVH Berlin</v>
      </c>
      <c r="M17" s="199" t="s">
        <v>249</v>
      </c>
      <c r="N17" s="197" t="str">
        <f>IF(VLOOKUP(A17,Schiedsrichter!$A$3:$I$176,9,FALSE)=0,"-",VLOOKUP(A17,Schiedsrichter!$A$3:$I$176,9,FALSE))</f>
        <v>KC Wetter</v>
      </c>
      <c r="P17" s="1">
        <f t="shared" si="5"/>
        <v>1</v>
      </c>
      <c r="Q17" s="1" t="str">
        <f t="shared" si="18"/>
        <v>KGW Essen</v>
      </c>
      <c r="R17" s="1">
        <f t="shared" si="6"/>
        <v>0</v>
      </c>
      <c r="S17" s="1">
        <f t="shared" si="7"/>
        <v>0</v>
      </c>
      <c r="T17" s="1">
        <f t="shared" si="8"/>
        <v>1</v>
      </c>
      <c r="U17" s="1">
        <f t="shared" si="9"/>
        <v>1</v>
      </c>
      <c r="V17" s="1">
        <f t="shared" si="10"/>
        <v>4</v>
      </c>
      <c r="W17" s="1" t="str">
        <f t="shared" si="11"/>
        <v>ACC Hamburg</v>
      </c>
      <c r="X17" s="1">
        <f t="shared" si="12"/>
        <v>1</v>
      </c>
      <c r="Y17" s="1">
        <f t="shared" si="13"/>
        <v>0</v>
      </c>
      <c r="Z17" s="1">
        <f t="shared" si="14"/>
        <v>0</v>
      </c>
      <c r="AA17" s="1">
        <f t="shared" si="15"/>
        <v>4</v>
      </c>
      <c r="AB17" s="1">
        <f t="shared" si="16"/>
        <v>1</v>
      </c>
      <c r="AE17" s="1" t="str">
        <f>Saisondaten!C22</f>
        <v>KSV Glauchau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34">
        <f t="shared" si="17"/>
        <v>42</v>
      </c>
      <c r="B18" s="34" t="s">
        <v>27</v>
      </c>
      <c r="C18" s="34">
        <v>2</v>
      </c>
      <c r="D18" s="35">
        <v>0.5625</v>
      </c>
      <c r="E18" s="34" t="s">
        <v>55</v>
      </c>
      <c r="F18" s="34" t="str">
        <f>Saisondaten!$B$23</f>
        <v>Göttinger PC</v>
      </c>
      <c r="G18" s="34" t="s">
        <v>43</v>
      </c>
      <c r="H18" s="34" t="str">
        <f>Saisondaten!$C$19</f>
        <v>KCNW Berlin</v>
      </c>
      <c r="I18" s="36">
        <v>3</v>
      </c>
      <c r="J18" s="34" t="s">
        <v>43</v>
      </c>
      <c r="K18" s="36">
        <v>5</v>
      </c>
      <c r="L18" s="194" t="str">
        <f>IF(VLOOKUP(A18,Schiedsrichter!$A$3:$I$176,8,FALSE)=0,"-",VLOOKUP(A18,Schiedsrichter!$A$3:$I$176,8,FALSE))</f>
        <v>KSV Glauchau</v>
      </c>
      <c r="M18" s="199" t="s">
        <v>249</v>
      </c>
      <c r="N18" s="197" t="str">
        <f>IF(VLOOKUP(A18,Schiedsrichter!$A$3:$I$176,9,FALSE)=0,"-",VLOOKUP(A18,Schiedsrichter!$A$3:$I$176,9,FALSE))</f>
        <v>1. MKC Duisburg</v>
      </c>
      <c r="P18" s="1">
        <f t="shared" si="5"/>
        <v>1</v>
      </c>
      <c r="Q18" s="1" t="str">
        <f t="shared" si="18"/>
        <v>Göttinger PC</v>
      </c>
      <c r="R18" s="1">
        <f t="shared" si="6"/>
        <v>0</v>
      </c>
      <c r="S18" s="1">
        <f t="shared" si="7"/>
        <v>0</v>
      </c>
      <c r="T18" s="1">
        <f t="shared" si="8"/>
        <v>1</v>
      </c>
      <c r="U18" s="1">
        <f t="shared" si="9"/>
        <v>3</v>
      </c>
      <c r="V18" s="1">
        <f t="shared" si="10"/>
        <v>5</v>
      </c>
      <c r="W18" s="1" t="str">
        <f t="shared" si="11"/>
        <v>KCNW Berlin</v>
      </c>
      <c r="X18" s="1">
        <f t="shared" si="12"/>
        <v>1</v>
      </c>
      <c r="Y18" s="1">
        <f t="shared" si="13"/>
        <v>0</v>
      </c>
      <c r="Z18" s="1">
        <f t="shared" si="14"/>
        <v>0</v>
      </c>
      <c r="AA18" s="1">
        <f t="shared" si="15"/>
        <v>5</v>
      </c>
      <c r="AB18" s="1">
        <f t="shared" si="16"/>
        <v>3</v>
      </c>
      <c r="AE18" s="1" t="str">
        <f>Saisondaten!C23</f>
        <v>KSVH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3">
        <f t="shared" si="17"/>
        <v>43</v>
      </c>
      <c r="B19" s="13" t="s">
        <v>27</v>
      </c>
      <c r="C19" s="13">
        <v>1</v>
      </c>
      <c r="D19" s="14">
        <v>0.59375</v>
      </c>
      <c r="E19" s="13" t="s">
        <v>55</v>
      </c>
      <c r="F19" s="13" t="str">
        <f>Saisondaten!$B$18</f>
        <v>KRM Essen</v>
      </c>
      <c r="G19" s="13" t="s">
        <v>43</v>
      </c>
      <c r="H19" s="13" t="str">
        <f>Saisondaten!$C$21</f>
        <v>VK Berlin</v>
      </c>
      <c r="I19" s="20">
        <v>6</v>
      </c>
      <c r="J19" s="13" t="s">
        <v>43</v>
      </c>
      <c r="K19" s="20">
        <v>2</v>
      </c>
      <c r="L19" s="179" t="str">
        <f>IF(VLOOKUP(A19,Schiedsrichter!$A$3:$I$176,8,FALSE)=0,"-",VLOOKUP(A19,Schiedsrichter!$A$3:$I$176,8,FALSE))</f>
        <v>Göttinger PC</v>
      </c>
      <c r="M19" s="175" t="s">
        <v>249</v>
      </c>
      <c r="N19" s="185" t="str">
        <f>IF(VLOOKUP(A19,Schiedsrichter!$A$3:$I$176,9,FALSE)=0,"-",VLOOKUP(A19,Schiedsrichter!$A$3:$I$176,9,FALSE))</f>
        <v>KSVH Berlin</v>
      </c>
      <c r="P19" s="1">
        <f t="shared" si="5"/>
        <v>1</v>
      </c>
      <c r="Q19" s="1" t="str">
        <f t="shared" si="18"/>
        <v>KRM Essen</v>
      </c>
      <c r="R19" s="1">
        <f t="shared" si="6"/>
        <v>1</v>
      </c>
      <c r="S19" s="1">
        <f t="shared" si="7"/>
        <v>0</v>
      </c>
      <c r="T19" s="1">
        <f t="shared" si="8"/>
        <v>0</v>
      </c>
      <c r="U19" s="1">
        <f t="shared" si="9"/>
        <v>6</v>
      </c>
      <c r="V19" s="1">
        <f t="shared" si="10"/>
        <v>2</v>
      </c>
      <c r="W19" s="1" t="str">
        <f t="shared" si="11"/>
        <v>VK Berlin</v>
      </c>
      <c r="X19" s="1">
        <f t="shared" si="12"/>
        <v>0</v>
      </c>
      <c r="Y19" s="1">
        <f t="shared" si="13"/>
        <v>0</v>
      </c>
      <c r="Z19" s="1">
        <f t="shared" si="14"/>
        <v>1</v>
      </c>
      <c r="AA19" s="1">
        <f t="shared" si="15"/>
        <v>2</v>
      </c>
      <c r="AB19" s="1">
        <f t="shared" si="16"/>
        <v>6</v>
      </c>
    </row>
    <row r="20" spans="1:28" ht="16.5">
      <c r="A20" s="13">
        <f t="shared" si="17"/>
        <v>44</v>
      </c>
      <c r="B20" s="13" t="s">
        <v>27</v>
      </c>
      <c r="C20" s="13">
        <v>2</v>
      </c>
      <c r="D20" s="14">
        <v>0.59375</v>
      </c>
      <c r="E20" s="13" t="s">
        <v>55</v>
      </c>
      <c r="F20" s="13" t="str">
        <f>Saisondaten!$B$19</f>
        <v>WSF Liblar</v>
      </c>
      <c r="G20" s="13" t="s">
        <v>43</v>
      </c>
      <c r="H20" s="13" t="str">
        <f>Saisondaten!$C$20</f>
        <v>RSV Hannover</v>
      </c>
      <c r="I20" s="20">
        <v>6</v>
      </c>
      <c r="J20" s="13" t="s">
        <v>43</v>
      </c>
      <c r="K20" s="20">
        <v>1</v>
      </c>
      <c r="L20" s="179" t="str">
        <f>IF(VLOOKUP(A20,Schiedsrichter!$A$3:$I$176,8,FALSE)=0,"-",VLOOKUP(A20,Schiedsrichter!$A$3:$I$176,8,FALSE))</f>
        <v>KGW Essen</v>
      </c>
      <c r="M20" s="175" t="s">
        <v>249</v>
      </c>
      <c r="N20" s="185" t="str">
        <f>IF(VLOOKUP(A20,Schiedsrichter!$A$3:$I$176,9,FALSE)=0,"-",VLOOKUP(A20,Schiedsrichter!$A$3:$I$176,9,FALSE))</f>
        <v>KSV Glauchau</v>
      </c>
      <c r="P20" s="1">
        <f t="shared" si="5"/>
        <v>1</v>
      </c>
      <c r="Q20" s="1" t="str">
        <f t="shared" si="18"/>
        <v>WSF Liblar</v>
      </c>
      <c r="R20" s="1">
        <f t="shared" si="6"/>
        <v>1</v>
      </c>
      <c r="S20" s="1">
        <f t="shared" si="7"/>
        <v>0</v>
      </c>
      <c r="T20" s="1">
        <f t="shared" si="8"/>
        <v>0</v>
      </c>
      <c r="U20" s="1">
        <f t="shared" si="9"/>
        <v>6</v>
      </c>
      <c r="V20" s="1">
        <f t="shared" si="10"/>
        <v>1</v>
      </c>
      <c r="W20" s="1" t="str">
        <f t="shared" si="11"/>
        <v>RSV Hannover</v>
      </c>
      <c r="X20" s="1">
        <f t="shared" si="12"/>
        <v>0</v>
      </c>
      <c r="Y20" s="1">
        <f t="shared" si="13"/>
        <v>0</v>
      </c>
      <c r="Z20" s="1">
        <f t="shared" si="14"/>
        <v>1</v>
      </c>
      <c r="AA20" s="1">
        <f t="shared" si="15"/>
        <v>1</v>
      </c>
      <c r="AB20" s="1">
        <f t="shared" si="16"/>
        <v>6</v>
      </c>
    </row>
    <row r="21" spans="1:36" ht="16.5">
      <c r="A21" s="34">
        <f t="shared" si="17"/>
        <v>45</v>
      </c>
      <c r="B21" s="34" t="s">
        <v>27</v>
      </c>
      <c r="C21" s="34">
        <v>1</v>
      </c>
      <c r="D21" s="35">
        <v>0.625</v>
      </c>
      <c r="E21" s="34" t="s">
        <v>55</v>
      </c>
      <c r="F21" s="34" t="str">
        <f>Saisondaten!$B$20</f>
        <v>1. MKC Duisburg</v>
      </c>
      <c r="G21" s="34" t="s">
        <v>43</v>
      </c>
      <c r="H21" s="34" t="str">
        <f>Saisondaten!$C$19</f>
        <v>KCNW Berlin</v>
      </c>
      <c r="I21" s="36">
        <v>4</v>
      </c>
      <c r="J21" s="34" t="s">
        <v>43</v>
      </c>
      <c r="K21" s="36">
        <v>4</v>
      </c>
      <c r="L21" s="194" t="str">
        <f>IF(VLOOKUP(A21,Schiedsrichter!$A$3:$I$176,8,FALSE)=0,"-",VLOOKUP(A21,Schiedsrichter!$A$3:$I$176,8,FALSE))</f>
        <v>WSF Liblar</v>
      </c>
      <c r="M21" s="199" t="s">
        <v>249</v>
      </c>
      <c r="N21" s="197" t="str">
        <f>IF(VLOOKUP(A21,Schiedsrichter!$A$3:$I$176,9,FALSE)=0,"-",VLOOKUP(A21,Schiedsrichter!$A$3:$I$176,9,FALSE))</f>
        <v>VK Berlin</v>
      </c>
      <c r="P21" s="1">
        <f t="shared" si="5"/>
        <v>1</v>
      </c>
      <c r="Q21" s="1" t="str">
        <f t="shared" si="18"/>
        <v>1. MKC Duisburg</v>
      </c>
      <c r="R21" s="1">
        <f t="shared" si="6"/>
        <v>0</v>
      </c>
      <c r="S21" s="1">
        <f t="shared" si="7"/>
        <v>1</v>
      </c>
      <c r="T21" s="1">
        <f t="shared" si="8"/>
        <v>0</v>
      </c>
      <c r="U21" s="1">
        <f t="shared" si="9"/>
        <v>4</v>
      </c>
      <c r="V21" s="1">
        <f t="shared" si="10"/>
        <v>4</v>
      </c>
      <c r="W21" s="1" t="str">
        <f t="shared" si="11"/>
        <v>KCNW Berlin</v>
      </c>
      <c r="X21" s="1">
        <f t="shared" si="12"/>
        <v>0</v>
      </c>
      <c r="Y21" s="1">
        <f t="shared" si="13"/>
        <v>1</v>
      </c>
      <c r="Z21" s="1">
        <f t="shared" si="14"/>
        <v>0</v>
      </c>
      <c r="AA21" s="1">
        <f t="shared" si="15"/>
        <v>4</v>
      </c>
      <c r="AB21" s="1">
        <f t="shared" si="16"/>
        <v>4</v>
      </c>
      <c r="AE21" s="63" t="s">
        <v>45</v>
      </c>
      <c r="AF21" s="1" t="s">
        <v>54</v>
      </c>
      <c r="AG21" s="1" t="s">
        <v>47</v>
      </c>
      <c r="AH21" s="1" t="s">
        <v>53</v>
      </c>
      <c r="AI21" s="1" t="s">
        <v>50</v>
      </c>
      <c r="AJ21" s="1" t="s">
        <v>23</v>
      </c>
    </row>
    <row r="22" spans="1:36" ht="16.5">
      <c r="A22" s="34">
        <f t="shared" si="17"/>
        <v>46</v>
      </c>
      <c r="B22" s="34" t="s">
        <v>27</v>
      </c>
      <c r="C22" s="34">
        <v>2</v>
      </c>
      <c r="D22" s="35">
        <v>0.625</v>
      </c>
      <c r="E22" s="34" t="s">
        <v>55</v>
      </c>
      <c r="F22" s="34" t="str">
        <f>Saisondaten!$B$21</f>
        <v>KC Wetter</v>
      </c>
      <c r="G22" s="34" t="s">
        <v>43</v>
      </c>
      <c r="H22" s="34" t="str">
        <f>Saisondaten!$C$18</f>
        <v>ACC Hamburg</v>
      </c>
      <c r="I22" s="36">
        <v>2</v>
      </c>
      <c r="J22" s="34" t="s">
        <v>43</v>
      </c>
      <c r="K22" s="36">
        <v>9</v>
      </c>
      <c r="L22" s="194" t="str">
        <f>IF(VLOOKUP(A22,Schiedsrichter!$A$3:$I$176,8,FALSE)=0,"-",VLOOKUP(A22,Schiedsrichter!$A$3:$I$176,8,FALSE))</f>
        <v>KRM Essen</v>
      </c>
      <c r="M22" s="199" t="s">
        <v>249</v>
      </c>
      <c r="N22" s="197" t="str">
        <f>IF(VLOOKUP(A22,Schiedsrichter!$A$3:$I$176,9,FALSE)=0,"-",VLOOKUP(A22,Schiedsrichter!$A$3:$I$176,9,FALSE))</f>
        <v>RSV Hannover</v>
      </c>
      <c r="P22" s="1">
        <f t="shared" si="5"/>
        <v>1</v>
      </c>
      <c r="Q22" s="1" t="str">
        <f t="shared" si="18"/>
        <v>KC Wetter</v>
      </c>
      <c r="R22" s="1">
        <f t="shared" si="6"/>
        <v>0</v>
      </c>
      <c r="S22" s="1">
        <f t="shared" si="7"/>
        <v>0</v>
      </c>
      <c r="T22" s="1">
        <f t="shared" si="8"/>
        <v>1</v>
      </c>
      <c r="U22" s="1">
        <f t="shared" si="9"/>
        <v>2</v>
      </c>
      <c r="V22" s="1">
        <f t="shared" si="10"/>
        <v>9</v>
      </c>
      <c r="W22" s="1" t="str">
        <f t="shared" si="11"/>
        <v>ACC Hamburg</v>
      </c>
      <c r="X22" s="1">
        <f t="shared" si="12"/>
        <v>1</v>
      </c>
      <c r="Y22" s="1">
        <f t="shared" si="13"/>
        <v>0</v>
      </c>
      <c r="Z22" s="1">
        <f t="shared" si="14"/>
        <v>0</v>
      </c>
      <c r="AA22" s="1">
        <f t="shared" si="15"/>
        <v>9</v>
      </c>
      <c r="AB22" s="1">
        <f t="shared" si="16"/>
        <v>2</v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3">
        <f t="shared" si="17"/>
        <v>47</v>
      </c>
      <c r="B23" s="13" t="s">
        <v>27</v>
      </c>
      <c r="C23" s="13">
        <v>1</v>
      </c>
      <c r="D23" s="14">
        <v>0.65625</v>
      </c>
      <c r="E23" s="13" t="s">
        <v>55</v>
      </c>
      <c r="F23" s="13" t="str">
        <f>Saisondaten!$B$22</f>
        <v>KGW Essen</v>
      </c>
      <c r="G23" s="13" t="s">
        <v>43</v>
      </c>
      <c r="H23" s="13" t="str">
        <f>Saisondaten!$C$23</f>
        <v>KSVH Berlin</v>
      </c>
      <c r="I23" s="20">
        <v>2</v>
      </c>
      <c r="J23" s="13" t="s">
        <v>43</v>
      </c>
      <c r="K23" s="20">
        <v>1</v>
      </c>
      <c r="L23" s="179" t="str">
        <f>IF(VLOOKUP(A23,Schiedsrichter!$A$3:$I$176,8,FALSE)=0,"-",VLOOKUP(A23,Schiedsrichter!$A$3:$I$176,8,FALSE))</f>
        <v>KC Wetter</v>
      </c>
      <c r="M23" s="175" t="s">
        <v>249</v>
      </c>
      <c r="N23" s="185" t="str">
        <f>IF(VLOOKUP(A23,Schiedsrichter!$A$3:$I$176,9,FALSE)=0,"-",VLOOKUP(A23,Schiedsrichter!$A$3:$I$176,9,FALSE))</f>
        <v>KCNW Berlin</v>
      </c>
      <c r="P23" s="1">
        <f t="shared" si="5"/>
        <v>1</v>
      </c>
      <c r="Q23" s="1" t="str">
        <f t="shared" si="18"/>
        <v>KGW Essen</v>
      </c>
      <c r="R23" s="1">
        <f t="shared" si="6"/>
        <v>1</v>
      </c>
      <c r="S23" s="1">
        <f t="shared" si="7"/>
        <v>0</v>
      </c>
      <c r="T23" s="1">
        <f t="shared" si="8"/>
        <v>0</v>
      </c>
      <c r="U23" s="1">
        <f t="shared" si="9"/>
        <v>2</v>
      </c>
      <c r="V23" s="1">
        <f t="shared" si="10"/>
        <v>1</v>
      </c>
      <c r="W23" s="1" t="str">
        <f t="shared" si="11"/>
        <v>KSVH Berlin</v>
      </c>
      <c r="X23" s="1">
        <f t="shared" si="12"/>
        <v>0</v>
      </c>
      <c r="Y23" s="1">
        <f t="shared" si="13"/>
        <v>0</v>
      </c>
      <c r="Z23" s="1">
        <f t="shared" si="14"/>
        <v>1</v>
      </c>
      <c r="AA23" s="1">
        <f t="shared" si="15"/>
        <v>1</v>
      </c>
      <c r="AB23" s="1">
        <f t="shared" si="16"/>
        <v>2</v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1">
        <f t="shared" si="22"/>
        <v>0</v>
      </c>
      <c r="AJ23" s="1">
        <f t="shared" si="23"/>
        <v>0</v>
      </c>
    </row>
    <row r="24" spans="1:36" ht="16.5">
      <c r="A24" s="13">
        <f t="shared" si="17"/>
        <v>48</v>
      </c>
      <c r="B24" s="13" t="s">
        <v>27</v>
      </c>
      <c r="C24" s="13">
        <v>2</v>
      </c>
      <c r="D24" s="14">
        <v>0.65625</v>
      </c>
      <c r="E24" s="13" t="s">
        <v>55</v>
      </c>
      <c r="F24" s="13" t="str">
        <f>Saisondaten!$B$23</f>
        <v>Göttinger PC</v>
      </c>
      <c r="G24" s="13" t="s">
        <v>43</v>
      </c>
      <c r="H24" s="13" t="str">
        <f>Saisondaten!$C$22</f>
        <v>KSV Glauchau</v>
      </c>
      <c r="I24" s="20">
        <v>7</v>
      </c>
      <c r="J24" s="13" t="s">
        <v>43</v>
      </c>
      <c r="K24" s="20">
        <v>4</v>
      </c>
      <c r="L24" s="179" t="str">
        <f>IF(VLOOKUP(A24,Schiedsrichter!$A$3:$I$176,8,FALSE)=0,"-",VLOOKUP(A24,Schiedsrichter!$A$3:$I$176,8,FALSE))</f>
        <v>1. MKC Duisburg</v>
      </c>
      <c r="M24" s="175" t="s">
        <v>249</v>
      </c>
      <c r="N24" s="185" t="str">
        <f>IF(VLOOKUP(A24,Schiedsrichter!$A$3:$I$176,9,FALSE)=0,"-",VLOOKUP(A24,Schiedsrichter!$A$3:$I$176,9,FALSE))</f>
        <v>ACC Hamburg</v>
      </c>
      <c r="P24" s="1">
        <f t="shared" si="5"/>
        <v>1</v>
      </c>
      <c r="Q24" s="1" t="str">
        <f t="shared" si="18"/>
        <v>Göttinger PC</v>
      </c>
      <c r="R24" s="1">
        <f t="shared" si="6"/>
        <v>1</v>
      </c>
      <c r="S24" s="1">
        <f t="shared" si="7"/>
        <v>0</v>
      </c>
      <c r="T24" s="1">
        <f t="shared" si="8"/>
        <v>0</v>
      </c>
      <c r="U24" s="1">
        <f t="shared" si="9"/>
        <v>7</v>
      </c>
      <c r="V24" s="1">
        <f t="shared" si="10"/>
        <v>4</v>
      </c>
      <c r="W24" s="1" t="str">
        <f t="shared" si="11"/>
        <v>KSV Glauchau</v>
      </c>
      <c r="X24" s="1">
        <f t="shared" si="12"/>
        <v>0</v>
      </c>
      <c r="Y24" s="1">
        <f t="shared" si="13"/>
        <v>0</v>
      </c>
      <c r="Z24" s="1">
        <f t="shared" si="14"/>
        <v>1</v>
      </c>
      <c r="AA24" s="1">
        <f t="shared" si="15"/>
        <v>4</v>
      </c>
      <c r="AB24" s="1">
        <f t="shared" si="16"/>
        <v>7</v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1">
        <f t="shared" si="22"/>
        <v>0</v>
      </c>
      <c r="AJ24" s="1">
        <f t="shared" si="23"/>
        <v>0</v>
      </c>
    </row>
    <row r="25" spans="1:36" ht="16.5">
      <c r="A25" s="34">
        <f t="shared" si="17"/>
        <v>49</v>
      </c>
      <c r="B25" s="34" t="s">
        <v>27</v>
      </c>
      <c r="C25" s="34">
        <v>1</v>
      </c>
      <c r="D25" s="35">
        <v>0.6875</v>
      </c>
      <c r="E25" s="34" t="s">
        <v>55</v>
      </c>
      <c r="F25" s="34" t="str">
        <f>Saisondaten!$B$18</f>
        <v>KRM Essen</v>
      </c>
      <c r="G25" s="34" t="s">
        <v>43</v>
      </c>
      <c r="H25" s="34" t="str">
        <f>Saisondaten!$C$20</f>
        <v>RSV Hannover</v>
      </c>
      <c r="I25" s="36">
        <v>4</v>
      </c>
      <c r="J25" s="34" t="s">
        <v>43</v>
      </c>
      <c r="K25" s="36">
        <v>3</v>
      </c>
      <c r="L25" s="194" t="str">
        <f>IF(VLOOKUP(A25,Schiedsrichter!$A$3:$I$176,8,FALSE)=0,"-",VLOOKUP(A25,Schiedsrichter!$A$3:$I$176,8,FALSE))</f>
        <v>KSVH Berlin</v>
      </c>
      <c r="M25" s="199" t="s">
        <v>249</v>
      </c>
      <c r="N25" s="197" t="str">
        <f>IF(VLOOKUP(A25,Schiedsrichter!$A$3:$I$176,9,FALSE)=0,"-",VLOOKUP(A25,Schiedsrichter!$A$3:$I$176,9,FALSE))</f>
        <v>KGW Essen</v>
      </c>
      <c r="P25" s="1">
        <f t="shared" si="5"/>
        <v>1</v>
      </c>
      <c r="Q25" s="1" t="str">
        <f t="shared" si="18"/>
        <v>KRM Essen</v>
      </c>
      <c r="R25" s="1">
        <f t="shared" si="6"/>
        <v>1</v>
      </c>
      <c r="S25" s="1">
        <f t="shared" si="7"/>
        <v>0</v>
      </c>
      <c r="T25" s="1">
        <f t="shared" si="8"/>
        <v>0</v>
      </c>
      <c r="U25" s="1">
        <f t="shared" si="9"/>
        <v>4</v>
      </c>
      <c r="V25" s="1">
        <f t="shared" si="10"/>
        <v>3</v>
      </c>
      <c r="W25" s="1" t="str">
        <f t="shared" si="11"/>
        <v>RSV Hannover</v>
      </c>
      <c r="X25" s="1">
        <f t="shared" si="12"/>
        <v>0</v>
      </c>
      <c r="Y25" s="1">
        <f t="shared" si="13"/>
        <v>0</v>
      </c>
      <c r="Z25" s="1">
        <f t="shared" si="14"/>
        <v>1</v>
      </c>
      <c r="AA25" s="1">
        <f t="shared" si="15"/>
        <v>3</v>
      </c>
      <c r="AB25" s="1">
        <f t="shared" si="16"/>
        <v>4</v>
      </c>
      <c r="AE25" s="1" t="str">
        <f t="shared" si="24"/>
        <v>KC Wetter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1">
        <f t="shared" si="22"/>
        <v>0</v>
      </c>
      <c r="AJ25" s="1">
        <f t="shared" si="23"/>
        <v>0</v>
      </c>
    </row>
    <row r="26" spans="1:36" ht="16.5">
      <c r="A26" s="34">
        <f t="shared" si="17"/>
        <v>50</v>
      </c>
      <c r="B26" s="34" t="s">
        <v>27</v>
      </c>
      <c r="C26" s="34">
        <v>2</v>
      </c>
      <c r="D26" s="35">
        <v>0.6875</v>
      </c>
      <c r="E26" s="34" t="s">
        <v>55</v>
      </c>
      <c r="F26" s="34" t="str">
        <f>Saisondaten!$B$19</f>
        <v>WSF Liblar</v>
      </c>
      <c r="G26" s="34" t="s">
        <v>43</v>
      </c>
      <c r="H26" s="34" t="str">
        <f>Saisondaten!$C$21</f>
        <v>VK Berlin</v>
      </c>
      <c r="I26" s="36">
        <v>6</v>
      </c>
      <c r="J26" s="34" t="s">
        <v>43</v>
      </c>
      <c r="K26" s="36">
        <v>4</v>
      </c>
      <c r="L26" s="194" t="str">
        <f>IF(VLOOKUP(A26,Schiedsrichter!$A$3:$I$176,8,FALSE)=0,"-",VLOOKUP(A26,Schiedsrichter!$A$3:$I$176,8,FALSE))</f>
        <v>KSV Glauchau</v>
      </c>
      <c r="M26" s="199" t="s">
        <v>249</v>
      </c>
      <c r="N26" s="197" t="str">
        <f>IF(VLOOKUP(A26,Schiedsrichter!$A$3:$I$176,9,FALSE)=0,"-",VLOOKUP(A26,Schiedsrichter!$A$3:$I$176,9,FALSE))</f>
        <v>Göttinger PC</v>
      </c>
      <c r="P26" s="1">
        <f t="shared" si="5"/>
        <v>1</v>
      </c>
      <c r="Q26" s="1" t="str">
        <f t="shared" si="18"/>
        <v>WSF Liblar</v>
      </c>
      <c r="R26" s="1">
        <f t="shared" si="6"/>
        <v>1</v>
      </c>
      <c r="S26" s="1">
        <f t="shared" si="7"/>
        <v>0</v>
      </c>
      <c r="T26" s="1">
        <f t="shared" si="8"/>
        <v>0</v>
      </c>
      <c r="U26" s="1">
        <f t="shared" si="9"/>
        <v>6</v>
      </c>
      <c r="V26" s="1">
        <f t="shared" si="10"/>
        <v>4</v>
      </c>
      <c r="W26" s="1" t="str">
        <f t="shared" si="11"/>
        <v>VK Berlin</v>
      </c>
      <c r="X26" s="1">
        <f t="shared" si="12"/>
        <v>0</v>
      </c>
      <c r="Y26" s="1">
        <f t="shared" si="13"/>
        <v>0</v>
      </c>
      <c r="Z26" s="1">
        <f t="shared" si="14"/>
        <v>1</v>
      </c>
      <c r="AA26" s="1">
        <f t="shared" si="15"/>
        <v>4</v>
      </c>
      <c r="AB26" s="1">
        <f t="shared" si="16"/>
        <v>6</v>
      </c>
      <c r="AE26" s="1" t="str">
        <f t="shared" si="24"/>
        <v>KGW Essen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1">
        <f t="shared" si="22"/>
        <v>0</v>
      </c>
      <c r="AJ26" s="1">
        <f t="shared" si="23"/>
        <v>0</v>
      </c>
    </row>
    <row r="27" spans="1:36" ht="16.5">
      <c r="A27" s="13">
        <f t="shared" si="17"/>
        <v>51</v>
      </c>
      <c r="B27" s="13" t="s">
        <v>27</v>
      </c>
      <c r="C27" s="13">
        <v>1</v>
      </c>
      <c r="D27" s="14">
        <v>0.71875</v>
      </c>
      <c r="E27" s="13" t="s">
        <v>55</v>
      </c>
      <c r="F27" s="13" t="str">
        <f>Saisondaten!$B$20</f>
        <v>1. MKC Duisburg</v>
      </c>
      <c r="G27" s="13" t="s">
        <v>43</v>
      </c>
      <c r="H27" s="13" t="str">
        <f>Saisondaten!$C$18</f>
        <v>ACC Hamburg</v>
      </c>
      <c r="I27" s="20">
        <v>2</v>
      </c>
      <c r="J27" s="13" t="s">
        <v>43</v>
      </c>
      <c r="K27" s="20">
        <v>5</v>
      </c>
      <c r="L27" s="179" t="str">
        <f>IF(VLOOKUP(A27,Schiedsrichter!$A$3:$I$176,8,FALSE)=0,"-",VLOOKUP(A27,Schiedsrichter!$A$3:$I$176,8,FALSE))</f>
        <v>RSV Hannover</v>
      </c>
      <c r="M27" s="175" t="s">
        <v>249</v>
      </c>
      <c r="N27" s="185" t="str">
        <f>IF(VLOOKUP(A27,Schiedsrichter!$A$3:$I$176,9,FALSE)=0,"-",VLOOKUP(A27,Schiedsrichter!$A$3:$I$176,9,FALSE))</f>
        <v>KRM Essen</v>
      </c>
      <c r="P27" s="1">
        <f t="shared" si="5"/>
        <v>1</v>
      </c>
      <c r="Q27" s="1" t="str">
        <f t="shared" si="18"/>
        <v>1. MKC Duisburg</v>
      </c>
      <c r="R27" s="1">
        <f t="shared" si="6"/>
        <v>0</v>
      </c>
      <c r="S27" s="1">
        <f t="shared" si="7"/>
        <v>0</v>
      </c>
      <c r="T27" s="1">
        <f t="shared" si="8"/>
        <v>1</v>
      </c>
      <c r="U27" s="1">
        <f t="shared" si="9"/>
        <v>2</v>
      </c>
      <c r="V27" s="1">
        <f t="shared" si="10"/>
        <v>5</v>
      </c>
      <c r="W27" s="1" t="str">
        <f t="shared" si="11"/>
        <v>ACC Hamburg</v>
      </c>
      <c r="X27" s="1">
        <f t="shared" si="12"/>
        <v>1</v>
      </c>
      <c r="Y27" s="1">
        <f t="shared" si="13"/>
        <v>0</v>
      </c>
      <c r="Z27" s="1">
        <f t="shared" si="14"/>
        <v>0</v>
      </c>
      <c r="AA27" s="1">
        <f t="shared" si="15"/>
        <v>5</v>
      </c>
      <c r="AB27" s="1">
        <f t="shared" si="16"/>
        <v>2</v>
      </c>
      <c r="AE27" s="1" t="str">
        <f t="shared" si="24"/>
        <v>Göttinger PC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1">
        <f t="shared" si="22"/>
        <v>0</v>
      </c>
      <c r="AJ27" s="1">
        <f t="shared" si="23"/>
        <v>0</v>
      </c>
    </row>
    <row r="28" spans="1:36" ht="16.5">
      <c r="A28" s="13">
        <f t="shared" si="17"/>
        <v>52</v>
      </c>
      <c r="B28" s="13" t="s">
        <v>27</v>
      </c>
      <c r="C28" s="13">
        <v>2</v>
      </c>
      <c r="D28" s="14">
        <v>0.71875</v>
      </c>
      <c r="E28" s="13" t="s">
        <v>55</v>
      </c>
      <c r="F28" s="13" t="str">
        <f>Saisondaten!$B$21</f>
        <v>KC Wetter</v>
      </c>
      <c r="G28" s="13" t="s">
        <v>43</v>
      </c>
      <c r="H28" s="13" t="str">
        <f>Saisondaten!$C$19</f>
        <v>KCNW Berlin</v>
      </c>
      <c r="I28" s="20">
        <v>1</v>
      </c>
      <c r="J28" s="13" t="s">
        <v>43</v>
      </c>
      <c r="K28" s="20">
        <v>4</v>
      </c>
      <c r="L28" s="179" t="str">
        <f>IF(VLOOKUP(A28,Schiedsrichter!$A$3:$I$176,8,FALSE)=0,"-",VLOOKUP(A28,Schiedsrichter!$A$3:$I$176,8,FALSE))</f>
        <v>VK Berlin</v>
      </c>
      <c r="M28" s="175" t="s">
        <v>249</v>
      </c>
      <c r="N28" s="185" t="str">
        <f>IF(VLOOKUP(A28,Schiedsrichter!$A$3:$I$176,9,FALSE)=0,"-",VLOOKUP(A28,Schiedsrichter!$A$3:$I$176,9,FALSE))</f>
        <v>WSF Liblar</v>
      </c>
      <c r="P28" s="1">
        <f t="shared" si="5"/>
        <v>1</v>
      </c>
      <c r="Q28" s="1" t="str">
        <f t="shared" si="18"/>
        <v>KC Wetter</v>
      </c>
      <c r="R28" s="1">
        <f t="shared" si="6"/>
        <v>0</v>
      </c>
      <c r="S28" s="1">
        <f t="shared" si="7"/>
        <v>0</v>
      </c>
      <c r="T28" s="1">
        <f t="shared" si="8"/>
        <v>1</v>
      </c>
      <c r="U28" s="1">
        <f t="shared" si="9"/>
        <v>1</v>
      </c>
      <c r="V28" s="1">
        <f t="shared" si="10"/>
        <v>4</v>
      </c>
      <c r="W28" s="1" t="str">
        <f t="shared" si="11"/>
        <v>KCNW Berlin</v>
      </c>
      <c r="X28" s="1">
        <f t="shared" si="12"/>
        <v>1</v>
      </c>
      <c r="Y28" s="1">
        <f t="shared" si="13"/>
        <v>0</v>
      </c>
      <c r="Z28" s="1">
        <f t="shared" si="14"/>
        <v>0</v>
      </c>
      <c r="AA28" s="1">
        <f t="shared" si="15"/>
        <v>4</v>
      </c>
      <c r="AB28" s="1">
        <f t="shared" si="16"/>
        <v>1</v>
      </c>
      <c r="AE28" s="1" t="str">
        <f t="shared" si="24"/>
        <v>ACC Hamburg</v>
      </c>
      <c r="AF28" s="1">
        <f t="shared" si="19"/>
        <v>5</v>
      </c>
      <c r="AG28" s="1">
        <f t="shared" si="20"/>
        <v>0</v>
      </c>
      <c r="AH28" s="1">
        <f t="shared" si="21"/>
        <v>1</v>
      </c>
      <c r="AI28" s="1">
        <f t="shared" si="22"/>
        <v>30</v>
      </c>
      <c r="AJ28" s="1">
        <f t="shared" si="23"/>
        <v>15</v>
      </c>
    </row>
    <row r="29" spans="1:36" ht="16.5">
      <c r="A29" s="34">
        <f t="shared" si="17"/>
        <v>53</v>
      </c>
      <c r="B29" s="34" t="s">
        <v>27</v>
      </c>
      <c r="C29" s="34">
        <v>1</v>
      </c>
      <c r="D29" s="35">
        <v>0.75</v>
      </c>
      <c r="E29" s="34" t="s">
        <v>55</v>
      </c>
      <c r="F29" s="34" t="str">
        <f>Saisondaten!$B$22</f>
        <v>KGW Essen</v>
      </c>
      <c r="G29" s="34" t="s">
        <v>43</v>
      </c>
      <c r="H29" s="34" t="str">
        <f>Saisondaten!$C$22</f>
        <v>KSV Glauchau</v>
      </c>
      <c r="I29" s="36">
        <v>3</v>
      </c>
      <c r="J29" s="34" t="s">
        <v>43</v>
      </c>
      <c r="K29" s="36">
        <v>2</v>
      </c>
      <c r="L29" s="194" t="str">
        <f>IF(VLOOKUP(A29,Schiedsrichter!$A$3:$I$176,8,FALSE)=0,"-",VLOOKUP(A29,Schiedsrichter!$A$3:$I$176,8,FALSE))</f>
        <v>RSV Hannover</v>
      </c>
      <c r="M29" s="199" t="s">
        <v>249</v>
      </c>
      <c r="N29" s="197" t="str">
        <f>IF(VLOOKUP(A29,Schiedsrichter!$A$3:$I$176,9,FALSE)=0,"-",VLOOKUP(A29,Schiedsrichter!$A$3:$I$176,9,FALSE))</f>
        <v>1. MKC Duisburg</v>
      </c>
      <c r="P29" s="1">
        <f t="shared" si="5"/>
        <v>1</v>
      </c>
      <c r="Q29" s="1" t="str">
        <f t="shared" si="18"/>
        <v>KGW Essen</v>
      </c>
      <c r="R29" s="1">
        <f t="shared" si="6"/>
        <v>1</v>
      </c>
      <c r="S29" s="1">
        <f t="shared" si="7"/>
        <v>0</v>
      </c>
      <c r="T29" s="1">
        <f t="shared" si="8"/>
        <v>0</v>
      </c>
      <c r="U29" s="1">
        <f t="shared" si="9"/>
        <v>3</v>
      </c>
      <c r="V29" s="1">
        <f t="shared" si="10"/>
        <v>2</v>
      </c>
      <c r="W29" s="1" t="str">
        <f t="shared" si="11"/>
        <v>KSV Glauchau</v>
      </c>
      <c r="X29" s="1">
        <f t="shared" si="12"/>
        <v>0</v>
      </c>
      <c r="Y29" s="1">
        <f t="shared" si="13"/>
        <v>0</v>
      </c>
      <c r="Z29" s="1">
        <f t="shared" si="14"/>
        <v>1</v>
      </c>
      <c r="AA29" s="1">
        <f t="shared" si="15"/>
        <v>2</v>
      </c>
      <c r="AB29" s="1">
        <f t="shared" si="16"/>
        <v>3</v>
      </c>
      <c r="AE29" s="1" t="str">
        <f t="shared" si="24"/>
        <v>KCNW Berlin</v>
      </c>
      <c r="AF29" s="1">
        <f t="shared" si="19"/>
        <v>3</v>
      </c>
      <c r="AG29" s="1">
        <f t="shared" si="20"/>
        <v>1</v>
      </c>
      <c r="AH29" s="1">
        <f t="shared" si="21"/>
        <v>2</v>
      </c>
      <c r="AI29" s="1">
        <f t="shared" si="22"/>
        <v>21</v>
      </c>
      <c r="AJ29" s="1">
        <f t="shared" si="23"/>
        <v>15</v>
      </c>
    </row>
    <row r="30" spans="1:36" ht="16.5">
      <c r="A30" s="34">
        <f t="shared" si="17"/>
        <v>54</v>
      </c>
      <c r="B30" s="34" t="s">
        <v>27</v>
      </c>
      <c r="C30" s="34">
        <v>2</v>
      </c>
      <c r="D30" s="35">
        <v>0.75</v>
      </c>
      <c r="E30" s="34" t="s">
        <v>55</v>
      </c>
      <c r="F30" s="34" t="str">
        <f>Saisondaten!$B$23</f>
        <v>Göttinger PC</v>
      </c>
      <c r="G30" s="34" t="s">
        <v>43</v>
      </c>
      <c r="H30" s="34" t="str">
        <f>Saisondaten!$C$23</f>
        <v>KSVH Berlin</v>
      </c>
      <c r="I30" s="36">
        <v>1</v>
      </c>
      <c r="J30" s="34" t="s">
        <v>43</v>
      </c>
      <c r="K30" s="36">
        <v>7</v>
      </c>
      <c r="L30" s="194" t="str">
        <f>IF(VLOOKUP(A30,Schiedsrichter!$A$3:$I$176,8,FALSE)=0,"-",VLOOKUP(A30,Schiedsrichter!$A$3:$I$176,8,FALSE))</f>
        <v>VK Berlin</v>
      </c>
      <c r="M30" s="199" t="s">
        <v>249</v>
      </c>
      <c r="N30" s="197" t="str">
        <f>IF(VLOOKUP(A30,Schiedsrichter!$A$3:$I$176,9,FALSE)=0,"-",VLOOKUP(A30,Schiedsrichter!$A$3:$I$176,9,FALSE))</f>
        <v>KC Wetter</v>
      </c>
      <c r="P30" s="1">
        <f t="shared" si="5"/>
        <v>1</v>
      </c>
      <c r="Q30" s="1" t="str">
        <f t="shared" si="18"/>
        <v>Göttinger PC</v>
      </c>
      <c r="R30" s="1">
        <f t="shared" si="6"/>
        <v>0</v>
      </c>
      <c r="S30" s="1">
        <f t="shared" si="7"/>
        <v>0</v>
      </c>
      <c r="T30" s="1">
        <f t="shared" si="8"/>
        <v>1</v>
      </c>
      <c r="U30" s="1">
        <f t="shared" si="9"/>
        <v>1</v>
      </c>
      <c r="V30" s="1">
        <f t="shared" si="10"/>
        <v>7</v>
      </c>
      <c r="W30" s="1" t="str">
        <f t="shared" si="11"/>
        <v>KSVH Berlin</v>
      </c>
      <c r="X30" s="1">
        <f t="shared" si="12"/>
        <v>1</v>
      </c>
      <c r="Y30" s="1">
        <f t="shared" si="13"/>
        <v>0</v>
      </c>
      <c r="Z30" s="1">
        <f t="shared" si="14"/>
        <v>0</v>
      </c>
      <c r="AA30" s="1">
        <f t="shared" si="15"/>
        <v>7</v>
      </c>
      <c r="AB30" s="1">
        <f t="shared" si="16"/>
        <v>1</v>
      </c>
      <c r="AE30" s="1" t="str">
        <f t="shared" si="24"/>
        <v>RSV Hannover</v>
      </c>
      <c r="AF30" s="1">
        <f t="shared" si="19"/>
        <v>3</v>
      </c>
      <c r="AG30" s="1">
        <f t="shared" si="20"/>
        <v>1</v>
      </c>
      <c r="AH30" s="1">
        <f t="shared" si="21"/>
        <v>2</v>
      </c>
      <c r="AI30" s="1">
        <f t="shared" si="22"/>
        <v>21</v>
      </c>
      <c r="AJ30" s="1">
        <f t="shared" si="23"/>
        <v>20</v>
      </c>
    </row>
    <row r="31" spans="1:36" ht="7.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P31" s="1" t="str">
        <f t="shared" si="5"/>
        <v>na</v>
      </c>
      <c r="Q31" s="1">
        <f t="shared" si="18"/>
        <v>0</v>
      </c>
      <c r="R31" s="1">
        <f t="shared" si="6"/>
      </c>
      <c r="S31" s="1">
        <f t="shared" si="7"/>
      </c>
      <c r="T31" s="1">
        <f t="shared" si="8"/>
      </c>
      <c r="U31" s="1">
        <f t="shared" si="9"/>
      </c>
      <c r="V31" s="1">
        <f t="shared" si="10"/>
      </c>
      <c r="W31" s="1">
        <f t="shared" si="11"/>
        <v>0</v>
      </c>
      <c r="X31" s="1">
        <f t="shared" si="12"/>
      </c>
      <c r="Y31" s="1">
        <f t="shared" si="13"/>
      </c>
      <c r="Z31" s="1">
        <f t="shared" si="14"/>
      </c>
      <c r="AA31" s="1">
        <f t="shared" si="15"/>
      </c>
      <c r="AB31" s="1">
        <f t="shared" si="16"/>
      </c>
      <c r="AE31" s="1" t="str">
        <f t="shared" si="24"/>
        <v>VK Berlin</v>
      </c>
      <c r="AF31" s="1">
        <f t="shared" si="19"/>
        <v>2</v>
      </c>
      <c r="AG31" s="1">
        <f t="shared" si="20"/>
        <v>1</v>
      </c>
      <c r="AH31" s="1">
        <f t="shared" si="21"/>
        <v>3</v>
      </c>
      <c r="AI31" s="1">
        <f t="shared" si="22"/>
        <v>21</v>
      </c>
      <c r="AJ31" s="1">
        <f t="shared" si="23"/>
        <v>29</v>
      </c>
    </row>
    <row r="32" spans="1:36" ht="17.25">
      <c r="A32" s="350" t="str">
        <f>TEXT(Saisondaten!$C$9,"[$-F800]TTTT, MMMM TT, JJJJ")</f>
        <v>Sonntag, 3. Juni 2018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P32" s="1" t="str">
        <f t="shared" si="5"/>
        <v>na</v>
      </c>
      <c r="Q32" s="1">
        <f t="shared" si="18"/>
        <v>0</v>
      </c>
      <c r="R32" s="1">
        <f t="shared" si="6"/>
      </c>
      <c r="S32" s="1">
        <f t="shared" si="7"/>
      </c>
      <c r="T32" s="1">
        <f t="shared" si="8"/>
      </c>
      <c r="U32" s="1">
        <f t="shared" si="9"/>
      </c>
      <c r="V32" s="1">
        <f t="shared" si="10"/>
      </c>
      <c r="W32" s="1">
        <f t="shared" si="11"/>
        <v>0</v>
      </c>
      <c r="X32" s="1">
        <f t="shared" si="12"/>
      </c>
      <c r="Y32" s="1">
        <f t="shared" si="13"/>
      </c>
      <c r="Z32" s="1">
        <f t="shared" si="14"/>
      </c>
      <c r="AA32" s="1">
        <f t="shared" si="15"/>
      </c>
      <c r="AB32" s="1">
        <f t="shared" si="16"/>
      </c>
      <c r="AE32" s="1" t="str">
        <f t="shared" si="24"/>
        <v>KSV Glauchau</v>
      </c>
      <c r="AF32" s="1">
        <f t="shared" si="19"/>
        <v>0</v>
      </c>
      <c r="AG32" s="1">
        <f t="shared" si="20"/>
        <v>0</v>
      </c>
      <c r="AH32" s="1">
        <f t="shared" si="21"/>
        <v>6</v>
      </c>
      <c r="AI32" s="1">
        <f t="shared" si="22"/>
        <v>12</v>
      </c>
      <c r="AJ32" s="1">
        <f t="shared" si="23"/>
        <v>33</v>
      </c>
    </row>
    <row r="33" spans="1:36" ht="16.5">
      <c r="A33" s="31">
        <f>A30+1</f>
        <v>55</v>
      </c>
      <c r="B33" s="31" t="s">
        <v>27</v>
      </c>
      <c r="C33" s="31">
        <v>1</v>
      </c>
      <c r="D33" s="32">
        <v>0.3854166666666667</v>
      </c>
      <c r="E33" s="31" t="s">
        <v>55</v>
      </c>
      <c r="F33" s="31" t="str">
        <f>Saisondaten!$B$22</f>
        <v>KGW Essen</v>
      </c>
      <c r="G33" s="31" t="s">
        <v>43</v>
      </c>
      <c r="H33" s="31" t="str">
        <f>Saisondaten!$C$21</f>
        <v>VK Berlin</v>
      </c>
      <c r="I33" s="33">
        <v>4</v>
      </c>
      <c r="J33" s="31" t="s">
        <v>43</v>
      </c>
      <c r="K33" s="33">
        <v>4</v>
      </c>
      <c r="L33" s="193" t="str">
        <f>IF(VLOOKUP(A33,Schiedsrichter!$A$3:$I$176,8,FALSE)=0,"-",VLOOKUP(A33,Schiedsrichter!$A$3:$I$176,8,FALSE))</f>
        <v>KRM Essen</v>
      </c>
      <c r="M33" s="192" t="s">
        <v>249</v>
      </c>
      <c r="N33" s="198" t="str">
        <f>IF(VLOOKUP(A33,Schiedsrichter!$A$3:$I$176,9,FALSE)=0,"-",VLOOKUP(A33,Schiedsrichter!$A$3:$I$176,9,FALSE))</f>
        <v>KCNW Berlin</v>
      </c>
      <c r="P33" s="1">
        <f t="shared" si="5"/>
        <v>1</v>
      </c>
      <c r="Q33" s="1" t="str">
        <f t="shared" si="18"/>
        <v>KGW Essen</v>
      </c>
      <c r="R33" s="1">
        <f t="shared" si="6"/>
        <v>0</v>
      </c>
      <c r="S33" s="1">
        <f t="shared" si="7"/>
        <v>1</v>
      </c>
      <c r="T33" s="1">
        <f t="shared" si="8"/>
        <v>0</v>
      </c>
      <c r="U33" s="1">
        <f t="shared" si="9"/>
        <v>4</v>
      </c>
      <c r="V33" s="1">
        <f t="shared" si="10"/>
        <v>4</v>
      </c>
      <c r="W33" s="1" t="str">
        <f t="shared" si="11"/>
        <v>VK Berlin</v>
      </c>
      <c r="X33" s="1">
        <f t="shared" si="12"/>
        <v>0</v>
      </c>
      <c r="Y33" s="1">
        <f t="shared" si="13"/>
        <v>1</v>
      </c>
      <c r="Z33" s="1">
        <f t="shared" si="14"/>
        <v>0</v>
      </c>
      <c r="AA33" s="1">
        <f t="shared" si="15"/>
        <v>4</v>
      </c>
      <c r="AB33" s="1">
        <f t="shared" si="16"/>
        <v>4</v>
      </c>
      <c r="AE33" s="1" t="str">
        <f t="shared" si="24"/>
        <v>KSVH Berlin</v>
      </c>
      <c r="AF33" s="1">
        <f t="shared" si="19"/>
        <v>2</v>
      </c>
      <c r="AG33" s="1">
        <f t="shared" si="20"/>
        <v>1</v>
      </c>
      <c r="AH33" s="1">
        <f t="shared" si="21"/>
        <v>3</v>
      </c>
      <c r="AI33" s="1">
        <f t="shared" si="22"/>
        <v>19</v>
      </c>
      <c r="AJ33" s="1">
        <f t="shared" si="23"/>
        <v>18</v>
      </c>
    </row>
    <row r="34" spans="1:28" ht="16.5">
      <c r="A34" s="34">
        <f aca="true" t="shared" si="25" ref="A34:A44">A33+1</f>
        <v>56</v>
      </c>
      <c r="B34" s="34" t="s">
        <v>27</v>
      </c>
      <c r="C34" s="34">
        <v>2</v>
      </c>
      <c r="D34" s="35">
        <v>0.3854166666666667</v>
      </c>
      <c r="E34" s="34" t="s">
        <v>55</v>
      </c>
      <c r="F34" s="34" t="str">
        <f>Saisondaten!$B$23</f>
        <v>Göttinger PC</v>
      </c>
      <c r="G34" s="34" t="s">
        <v>43</v>
      </c>
      <c r="H34" s="34" t="str">
        <f>Saisondaten!$C$20</f>
        <v>RSV Hannover</v>
      </c>
      <c r="I34" s="36">
        <v>4</v>
      </c>
      <c r="J34" s="34" t="s">
        <v>43</v>
      </c>
      <c r="K34" s="36">
        <v>8</v>
      </c>
      <c r="L34" s="194" t="str">
        <f>IF(VLOOKUP(A34,Schiedsrichter!$A$3:$I$176,8,FALSE)=0,"-",VLOOKUP(A34,Schiedsrichter!$A$3:$I$176,8,FALSE))</f>
        <v>WSF Liblar</v>
      </c>
      <c r="M34" s="199" t="s">
        <v>249</v>
      </c>
      <c r="N34" s="197" t="str">
        <f>IF(VLOOKUP(A34,Schiedsrichter!$A$3:$I$176,9,FALSE)=0,"-",VLOOKUP(A34,Schiedsrichter!$A$3:$I$176,9,FALSE))</f>
        <v>ACC Hamburg</v>
      </c>
      <c r="P34" s="1">
        <f t="shared" si="5"/>
        <v>1</v>
      </c>
      <c r="Q34" s="1" t="str">
        <f t="shared" si="18"/>
        <v>Göttinger PC</v>
      </c>
      <c r="R34" s="1">
        <f t="shared" si="6"/>
        <v>0</v>
      </c>
      <c r="S34" s="1">
        <f t="shared" si="7"/>
        <v>0</v>
      </c>
      <c r="T34" s="1">
        <f t="shared" si="8"/>
        <v>1</v>
      </c>
      <c r="U34" s="1">
        <f t="shared" si="9"/>
        <v>4</v>
      </c>
      <c r="V34" s="1">
        <f t="shared" si="10"/>
        <v>8</v>
      </c>
      <c r="W34" s="1" t="str">
        <f t="shared" si="11"/>
        <v>RSV Hannover</v>
      </c>
      <c r="X34" s="1">
        <f t="shared" si="12"/>
        <v>1</v>
      </c>
      <c r="Y34" s="1">
        <f t="shared" si="13"/>
        <v>0</v>
      </c>
      <c r="Z34" s="1">
        <f t="shared" si="14"/>
        <v>0</v>
      </c>
      <c r="AA34" s="1">
        <f t="shared" si="15"/>
        <v>8</v>
      </c>
      <c r="AB34" s="1">
        <f t="shared" si="16"/>
        <v>4</v>
      </c>
    </row>
    <row r="35" spans="1:28" ht="16.5">
      <c r="A35" s="13">
        <f t="shared" si="25"/>
        <v>57</v>
      </c>
      <c r="B35" s="13" t="s">
        <v>27</v>
      </c>
      <c r="C35" s="13">
        <v>1</v>
      </c>
      <c r="D35" s="14">
        <v>0.4583333333333333</v>
      </c>
      <c r="E35" s="13" t="s">
        <v>55</v>
      </c>
      <c r="F35" s="13" t="str">
        <f>Saisondaten!$B$20</f>
        <v>1. MKC Duisburg</v>
      </c>
      <c r="G35" s="13" t="s">
        <v>43</v>
      </c>
      <c r="H35" s="13" t="str">
        <f>Saisondaten!$C$23</f>
        <v>KSVH Berlin</v>
      </c>
      <c r="I35" s="20">
        <v>2</v>
      </c>
      <c r="J35" s="13" t="s">
        <v>43</v>
      </c>
      <c r="K35" s="20">
        <v>2</v>
      </c>
      <c r="L35" s="179" t="str">
        <f>IF(VLOOKUP(A35,Schiedsrichter!$A$3:$I$176,8,FALSE)=0,"-",VLOOKUP(A35,Schiedsrichter!$A$3:$I$176,8,FALSE))</f>
        <v>KGW Essen</v>
      </c>
      <c r="M35" s="175" t="s">
        <v>249</v>
      </c>
      <c r="N35" s="185" t="str">
        <f>IF(VLOOKUP(A35,Schiedsrichter!$A$3:$I$176,9,FALSE)=0,"-",VLOOKUP(A35,Schiedsrichter!$A$3:$I$176,9,FALSE))</f>
        <v>RSV Hannover</v>
      </c>
      <c r="P35" s="1">
        <f t="shared" si="5"/>
        <v>1</v>
      </c>
      <c r="Q35" s="1" t="str">
        <f t="shared" si="18"/>
        <v>1. MKC Duisburg</v>
      </c>
      <c r="R35" s="1">
        <f t="shared" si="6"/>
        <v>0</v>
      </c>
      <c r="S35" s="1">
        <f t="shared" si="7"/>
        <v>1</v>
      </c>
      <c r="T35" s="1">
        <f t="shared" si="8"/>
        <v>0</v>
      </c>
      <c r="U35" s="1">
        <f t="shared" si="9"/>
        <v>2</v>
      </c>
      <c r="V35" s="1">
        <f t="shared" si="10"/>
        <v>2</v>
      </c>
      <c r="W35" s="1" t="str">
        <f t="shared" si="11"/>
        <v>KSVH Berlin</v>
      </c>
      <c r="X35" s="1">
        <f t="shared" si="12"/>
        <v>0</v>
      </c>
      <c r="Y35" s="1">
        <f t="shared" si="13"/>
        <v>1</v>
      </c>
      <c r="Z35" s="1">
        <f t="shared" si="14"/>
        <v>0</v>
      </c>
      <c r="AA35" s="1">
        <f t="shared" si="15"/>
        <v>2</v>
      </c>
      <c r="AB35" s="1">
        <f t="shared" si="16"/>
        <v>2</v>
      </c>
    </row>
    <row r="36" spans="1:28" ht="16.5">
      <c r="A36" s="13">
        <f t="shared" si="25"/>
        <v>58</v>
      </c>
      <c r="B36" s="13" t="s">
        <v>27</v>
      </c>
      <c r="C36" s="13">
        <v>2</v>
      </c>
      <c r="D36" s="14">
        <v>0.4583333333333333</v>
      </c>
      <c r="E36" s="13" t="s">
        <v>55</v>
      </c>
      <c r="F36" s="13" t="str">
        <f>Saisondaten!$B$21</f>
        <v>KC Wetter</v>
      </c>
      <c r="G36" s="13" t="s">
        <v>43</v>
      </c>
      <c r="H36" s="13" t="str">
        <f>Saisondaten!$C$22</f>
        <v>KSV Glauchau</v>
      </c>
      <c r="I36" s="20">
        <v>3</v>
      </c>
      <c r="J36" s="13" t="s">
        <v>43</v>
      </c>
      <c r="K36" s="20">
        <v>1</v>
      </c>
      <c r="L36" s="179" t="str">
        <f>IF(VLOOKUP(A36,Schiedsrichter!$A$3:$I$176,8,FALSE)=0,"-",VLOOKUP(A36,Schiedsrichter!$A$3:$I$176,8,FALSE))</f>
        <v>Göttinger PC</v>
      </c>
      <c r="M36" s="175" t="s">
        <v>249</v>
      </c>
      <c r="N36" s="185" t="str">
        <f>IF(VLOOKUP(A36,Schiedsrichter!$A$3:$I$176,9,FALSE)=0,"-",VLOOKUP(A36,Schiedsrichter!$A$3:$I$176,9,FALSE))</f>
        <v>VK Berlin</v>
      </c>
      <c r="P36" s="1">
        <f t="shared" si="5"/>
        <v>1</v>
      </c>
      <c r="Q36" s="1" t="str">
        <f t="shared" si="18"/>
        <v>KC Wetter</v>
      </c>
      <c r="R36" s="1">
        <f t="shared" si="6"/>
        <v>1</v>
      </c>
      <c r="S36" s="1">
        <f t="shared" si="7"/>
        <v>0</v>
      </c>
      <c r="T36" s="1">
        <f t="shared" si="8"/>
        <v>0</v>
      </c>
      <c r="U36" s="1">
        <f t="shared" si="9"/>
        <v>3</v>
      </c>
      <c r="V36" s="1">
        <f t="shared" si="10"/>
        <v>1</v>
      </c>
      <c r="W36" s="1" t="str">
        <f t="shared" si="11"/>
        <v>KSV Glauchau</v>
      </c>
      <c r="X36" s="1">
        <f t="shared" si="12"/>
        <v>0</v>
      </c>
      <c r="Y36" s="1">
        <f t="shared" si="13"/>
        <v>0</v>
      </c>
      <c r="Z36" s="1">
        <f t="shared" si="14"/>
        <v>1</v>
      </c>
      <c r="AA36" s="1">
        <f t="shared" si="15"/>
        <v>1</v>
      </c>
      <c r="AB36" s="1">
        <f t="shared" si="16"/>
        <v>3</v>
      </c>
    </row>
    <row r="37" spans="1:28" ht="16.5">
      <c r="A37" s="34">
        <f t="shared" si="25"/>
        <v>59</v>
      </c>
      <c r="B37" s="34" t="s">
        <v>27</v>
      </c>
      <c r="C37" s="34">
        <v>1</v>
      </c>
      <c r="D37" s="35">
        <v>0.4895833333333333</v>
      </c>
      <c r="E37" s="34" t="s">
        <v>55</v>
      </c>
      <c r="F37" s="34" t="str">
        <f>Saisondaten!$B$18</f>
        <v>KRM Essen</v>
      </c>
      <c r="G37" s="34" t="s">
        <v>43</v>
      </c>
      <c r="H37" s="34" t="str">
        <f>Saisondaten!$C$19</f>
        <v>KCNW Berlin</v>
      </c>
      <c r="I37" s="36">
        <v>3</v>
      </c>
      <c r="J37" s="34" t="s">
        <v>43</v>
      </c>
      <c r="K37" s="36">
        <v>2</v>
      </c>
      <c r="L37" s="194" t="str">
        <f>IF(VLOOKUP(A37,Schiedsrichter!$A$3:$I$176,8,FALSE)=0,"-",VLOOKUP(A37,Schiedsrichter!$A$3:$I$176,8,FALSE))</f>
        <v>1. MKC Duisburg</v>
      </c>
      <c r="M37" s="199" t="s">
        <v>249</v>
      </c>
      <c r="N37" s="197" t="str">
        <f>IF(VLOOKUP(A37,Schiedsrichter!$A$3:$I$176,9,FALSE)=0,"-",VLOOKUP(A37,Schiedsrichter!$A$3:$I$176,9,FALSE))</f>
        <v>KSVH Berlin</v>
      </c>
      <c r="P37" s="1">
        <f t="shared" si="5"/>
        <v>1</v>
      </c>
      <c r="Q37" s="1" t="str">
        <f t="shared" si="18"/>
        <v>KRM Essen</v>
      </c>
      <c r="R37" s="1">
        <f t="shared" si="6"/>
        <v>1</v>
      </c>
      <c r="S37" s="1">
        <f t="shared" si="7"/>
        <v>0</v>
      </c>
      <c r="T37" s="1">
        <f t="shared" si="8"/>
        <v>0</v>
      </c>
      <c r="U37" s="1">
        <f t="shared" si="9"/>
        <v>3</v>
      </c>
      <c r="V37" s="1">
        <f t="shared" si="10"/>
        <v>2</v>
      </c>
      <c r="W37" s="1" t="str">
        <f t="shared" si="11"/>
        <v>KCNW Berlin</v>
      </c>
      <c r="X37" s="1">
        <f t="shared" si="12"/>
        <v>0</v>
      </c>
      <c r="Y37" s="1">
        <f t="shared" si="13"/>
        <v>0</v>
      </c>
      <c r="Z37" s="1">
        <f t="shared" si="14"/>
        <v>1</v>
      </c>
      <c r="AA37" s="1">
        <f t="shared" si="15"/>
        <v>2</v>
      </c>
      <c r="AB37" s="1">
        <f t="shared" si="16"/>
        <v>3</v>
      </c>
    </row>
    <row r="38" spans="1:28" ht="16.5">
      <c r="A38" s="34">
        <f t="shared" si="25"/>
        <v>60</v>
      </c>
      <c r="B38" s="34" t="s">
        <v>27</v>
      </c>
      <c r="C38" s="34">
        <v>2</v>
      </c>
      <c r="D38" s="35">
        <v>0.4895833333333333</v>
      </c>
      <c r="E38" s="34" t="s">
        <v>55</v>
      </c>
      <c r="F38" s="34" t="str">
        <f>Saisondaten!$B$19</f>
        <v>WSF Liblar</v>
      </c>
      <c r="G38" s="34" t="s">
        <v>43</v>
      </c>
      <c r="H38" s="34" t="str">
        <f>Saisondaten!$C$18</f>
        <v>ACC Hamburg</v>
      </c>
      <c r="I38" s="36">
        <v>3</v>
      </c>
      <c r="J38" s="34" t="s">
        <v>43</v>
      </c>
      <c r="K38" s="36">
        <v>2</v>
      </c>
      <c r="L38" s="194" t="str">
        <f>IF(VLOOKUP(A38,Schiedsrichter!$A$3:$I$176,8,FALSE)=0,"-",VLOOKUP(A38,Schiedsrichter!$A$3:$I$176,8,FALSE))</f>
        <v>KC Wetter</v>
      </c>
      <c r="M38" s="199" t="s">
        <v>249</v>
      </c>
      <c r="N38" s="197" t="str">
        <f>IF(VLOOKUP(A38,Schiedsrichter!$A$3:$I$176,9,FALSE)=0,"-",VLOOKUP(A38,Schiedsrichter!$A$3:$I$176,9,FALSE))</f>
        <v>KSV Glauchau</v>
      </c>
      <c r="P38" s="1">
        <f t="shared" si="5"/>
        <v>1</v>
      </c>
      <c r="Q38" s="1" t="str">
        <f t="shared" si="18"/>
        <v>WSF Liblar</v>
      </c>
      <c r="R38" s="1">
        <f t="shared" si="6"/>
        <v>1</v>
      </c>
      <c r="S38" s="1">
        <f t="shared" si="7"/>
        <v>0</v>
      </c>
      <c r="T38" s="1">
        <f t="shared" si="8"/>
        <v>0</v>
      </c>
      <c r="U38" s="1">
        <f t="shared" si="9"/>
        <v>3</v>
      </c>
      <c r="V38" s="1">
        <f t="shared" si="10"/>
        <v>2</v>
      </c>
      <c r="W38" s="1" t="str">
        <f t="shared" si="11"/>
        <v>ACC Hamburg</v>
      </c>
      <c r="X38" s="1">
        <f t="shared" si="12"/>
        <v>0</v>
      </c>
      <c r="Y38" s="1">
        <f t="shared" si="13"/>
        <v>0</v>
      </c>
      <c r="Z38" s="1">
        <f t="shared" si="14"/>
        <v>1</v>
      </c>
      <c r="AA38" s="1">
        <f t="shared" si="15"/>
        <v>2</v>
      </c>
      <c r="AB38" s="1">
        <f t="shared" si="16"/>
        <v>3</v>
      </c>
    </row>
    <row r="39" spans="1:42" ht="16.5">
      <c r="A39" s="13">
        <f t="shared" si="25"/>
        <v>61</v>
      </c>
      <c r="B39" s="13" t="s">
        <v>27</v>
      </c>
      <c r="C39" s="13">
        <v>1</v>
      </c>
      <c r="D39" s="14">
        <v>0.53125</v>
      </c>
      <c r="E39" s="13" t="s">
        <v>55</v>
      </c>
      <c r="F39" s="13" t="str">
        <f>Saisondaten!$B$22</f>
        <v>KGW Essen</v>
      </c>
      <c r="G39" s="13" t="s">
        <v>43</v>
      </c>
      <c r="H39" s="13" t="str">
        <f>Saisondaten!$C$20</f>
        <v>RSV Hannover</v>
      </c>
      <c r="I39" s="20">
        <v>1</v>
      </c>
      <c r="J39" s="13" t="s">
        <v>43</v>
      </c>
      <c r="K39" s="20">
        <v>1</v>
      </c>
      <c r="L39" s="179" t="str">
        <f>IF(VLOOKUP(A39,Schiedsrichter!$A$3:$I$176,8,FALSE)=0,"-",VLOOKUP(A39,Schiedsrichter!$A$3:$I$176,8,FALSE))</f>
        <v>KCNW Berlin</v>
      </c>
      <c r="M39" s="175" t="s">
        <v>249</v>
      </c>
      <c r="N39" s="185" t="str">
        <f>IF(VLOOKUP(A39,Schiedsrichter!$A$3:$I$176,9,FALSE)=0,"-",VLOOKUP(A39,Schiedsrichter!$A$3:$I$176,9,FALSE))</f>
        <v>WSF Liblar</v>
      </c>
      <c r="P39" s="1">
        <f t="shared" si="5"/>
        <v>1</v>
      </c>
      <c r="Q39" s="1" t="str">
        <f t="shared" si="18"/>
        <v>KGW Essen</v>
      </c>
      <c r="R39" s="1">
        <f t="shared" si="6"/>
        <v>0</v>
      </c>
      <c r="S39" s="1">
        <f t="shared" si="7"/>
        <v>1</v>
      </c>
      <c r="T39" s="1">
        <f t="shared" si="8"/>
        <v>0</v>
      </c>
      <c r="U39" s="1">
        <f t="shared" si="9"/>
        <v>1</v>
      </c>
      <c r="V39" s="1">
        <f t="shared" si="10"/>
        <v>1</v>
      </c>
      <c r="W39" s="1" t="str">
        <f t="shared" si="11"/>
        <v>RSV Hannover</v>
      </c>
      <c r="X39" s="1">
        <f t="shared" si="12"/>
        <v>0</v>
      </c>
      <c r="Y39" s="1">
        <f t="shared" si="13"/>
        <v>1</v>
      </c>
      <c r="Z39" s="1">
        <f t="shared" si="14"/>
        <v>0</v>
      </c>
      <c r="AA39" s="1">
        <f t="shared" si="15"/>
        <v>1</v>
      </c>
      <c r="AB39" s="1">
        <f t="shared" si="16"/>
        <v>1</v>
      </c>
      <c r="AD39" s="1" t="s">
        <v>70</v>
      </c>
      <c r="AE39" s="63" t="s">
        <v>45</v>
      </c>
      <c r="AF39" s="1" t="s">
        <v>8</v>
      </c>
      <c r="AG39" s="1" t="s">
        <v>54</v>
      </c>
      <c r="AH39" s="1" t="s">
        <v>47</v>
      </c>
      <c r="AI39" s="1" t="s">
        <v>53</v>
      </c>
      <c r="AJ39" s="1" t="s">
        <v>50</v>
      </c>
      <c r="AK39" s="1" t="s">
        <v>23</v>
      </c>
      <c r="AL39" s="1" t="s">
        <v>69</v>
      </c>
      <c r="AM39" s="349" t="s">
        <v>71</v>
      </c>
      <c r="AN39" s="349"/>
      <c r="AO39" s="349"/>
      <c r="AP39" s="349"/>
    </row>
    <row r="40" spans="1:73" ht="16.5">
      <c r="A40" s="15">
        <f t="shared" si="25"/>
        <v>62</v>
      </c>
      <c r="B40" s="15" t="s">
        <v>27</v>
      </c>
      <c r="C40" s="15">
        <v>2</v>
      </c>
      <c r="D40" s="14">
        <v>0.53125</v>
      </c>
      <c r="E40" s="15" t="s">
        <v>55</v>
      </c>
      <c r="F40" s="15" t="str">
        <f>Saisondaten!$B$23</f>
        <v>Göttinger PC</v>
      </c>
      <c r="G40" s="13" t="s">
        <v>43</v>
      </c>
      <c r="H40" s="15" t="str">
        <f>Saisondaten!$C$21</f>
        <v>VK Berlin</v>
      </c>
      <c r="I40" s="22">
        <v>3</v>
      </c>
      <c r="J40" s="15" t="s">
        <v>43</v>
      </c>
      <c r="K40" s="22">
        <v>5</v>
      </c>
      <c r="L40" s="181" t="str">
        <f>IF(VLOOKUP(A40,Schiedsrichter!$A$3:$I$176,8,FALSE)=0,"-",VLOOKUP(A40,Schiedsrichter!$A$3:$I$176,8,FALSE))</f>
        <v>ACC Hamburg</v>
      </c>
      <c r="M40" s="175" t="s">
        <v>249</v>
      </c>
      <c r="N40" s="187" t="str">
        <f>IF(VLOOKUP(A40,Schiedsrichter!$A$3:$I$176,9,FALSE)=0,"-",VLOOKUP(A40,Schiedsrichter!$A$3:$I$176,9,FALSE))</f>
        <v>KRM Essen</v>
      </c>
      <c r="P40" s="1">
        <f t="shared" si="5"/>
        <v>1</v>
      </c>
      <c r="Q40" s="1" t="str">
        <f t="shared" si="18"/>
        <v>Göttinger PC</v>
      </c>
      <c r="R40" s="1">
        <f t="shared" si="6"/>
        <v>0</v>
      </c>
      <c r="S40" s="1">
        <f t="shared" si="7"/>
        <v>0</v>
      </c>
      <c r="T40" s="1">
        <f t="shared" si="8"/>
        <v>1</v>
      </c>
      <c r="U40" s="1">
        <f t="shared" si="9"/>
        <v>3</v>
      </c>
      <c r="V40" s="1">
        <f t="shared" si="10"/>
        <v>5</v>
      </c>
      <c r="W40" s="1" t="str">
        <f t="shared" si="11"/>
        <v>VK Berlin</v>
      </c>
      <c r="X40" s="1">
        <f t="shared" si="12"/>
        <v>1</v>
      </c>
      <c r="Y40" s="1">
        <f t="shared" si="13"/>
        <v>0</v>
      </c>
      <c r="Z40" s="1">
        <f t="shared" si="14"/>
        <v>0</v>
      </c>
      <c r="AA40" s="1">
        <f t="shared" si="15"/>
        <v>5</v>
      </c>
      <c r="AB40" s="1">
        <f t="shared" si="16"/>
        <v>3</v>
      </c>
      <c r="AD40" s="1">
        <f>RANK(BU40,$BU$40:$BU$51,1)</f>
        <v>2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5</v>
      </c>
      <c r="AH40" s="1">
        <f t="shared" si="27"/>
        <v>0</v>
      </c>
      <c r="AI40" s="1">
        <f t="shared" si="27"/>
        <v>1</v>
      </c>
      <c r="AJ40" s="1">
        <f t="shared" si="27"/>
        <v>35</v>
      </c>
      <c r="AK40" s="1">
        <f t="shared" si="27"/>
        <v>17</v>
      </c>
      <c r="AL40" s="1">
        <f>AG40*3+AH40*1</f>
        <v>15</v>
      </c>
      <c r="AM40" s="1">
        <f>AL40*99999999+(AJ40-AK40)*888888+AJ40*7777</f>
        <v>1516272164</v>
      </c>
      <c r="AN40" s="1">
        <f>RANK(AM40,AM$40:AM$51,0)</f>
        <v>2</v>
      </c>
      <c r="AO40" s="1">
        <f>IF(COUNTIF(AN$40:AN40,AN40)&gt;1,1,0)</f>
        <v>0</v>
      </c>
      <c r="AP40" s="1">
        <f>AO40+AM40</f>
        <v>1516272164</v>
      </c>
      <c r="AQ40" s="1">
        <f>RANK(AP40,AP$40:AP$51,0)</f>
        <v>2</v>
      </c>
      <c r="AR40" s="1">
        <f>IF(COUNTIF(AQ$40:AQ40,AQ40)&gt;1,1,0)</f>
        <v>0</v>
      </c>
      <c r="AS40" s="1">
        <f>AR40+AP40</f>
        <v>1516272164</v>
      </c>
      <c r="AT40" s="1">
        <f>RANK(AS40,AS$40:AS$51,0)</f>
        <v>2</v>
      </c>
      <c r="AU40" s="1">
        <f>IF(COUNTIF(AT$40:AT40,AT40)&gt;1,1,0)</f>
        <v>0</v>
      </c>
      <c r="AV40" s="1">
        <f>AU40+AS40</f>
        <v>1516272164</v>
      </c>
      <c r="AW40" s="1">
        <f>RANK(AV40,AV$40:AV$51,0)</f>
        <v>2</v>
      </c>
      <c r="AX40" s="1">
        <f>IF(COUNTIF(AW$40:AW40,AW40)&gt;1,1,0)</f>
        <v>0</v>
      </c>
      <c r="AY40" s="1">
        <f>AX40+AV40</f>
        <v>1516272164</v>
      </c>
      <c r="AZ40" s="1">
        <f>RANK(AY40,AY$40:AY$51,0)</f>
        <v>2</v>
      </c>
      <c r="BA40" s="1">
        <f>IF(COUNTIF(AZ$40:AZ40,AZ40)&gt;1,1,0)</f>
        <v>0</v>
      </c>
      <c r="BB40" s="1">
        <f>BA40+AY40</f>
        <v>1516272164</v>
      </c>
      <c r="BC40" s="1">
        <f>RANK(BB40,BB$40:BB$51,0)</f>
        <v>2</v>
      </c>
      <c r="BD40" s="1">
        <f>IF(COUNTIF(BC$40:BC40,BC40)&gt;1,1,0)</f>
        <v>0</v>
      </c>
      <c r="BE40" s="1">
        <f>BD40+BB40</f>
        <v>1516272164</v>
      </c>
      <c r="BF40" s="1">
        <f>RANK(BE40,BE$40:BE$51,0)</f>
        <v>2</v>
      </c>
      <c r="BG40" s="1">
        <f>IF(COUNTIF(BF$40:BF40,BF40)&gt;1,1,0)</f>
        <v>0</v>
      </c>
      <c r="BH40" s="1">
        <f>BG40+BE40</f>
        <v>1516272164</v>
      </c>
      <c r="BI40" s="1">
        <f>RANK(BH40,BH$40:BH$51,0)</f>
        <v>2</v>
      </c>
      <c r="BJ40" s="1">
        <f>IF(COUNTIF(BI$40:BI40,BI40)&gt;1,1,0)</f>
        <v>0</v>
      </c>
      <c r="BK40" s="1">
        <f>BJ40+BH40</f>
        <v>1516272164</v>
      </c>
      <c r="BL40" s="1">
        <f>RANK(BK40,BK$40:BK$51,0)</f>
        <v>2</v>
      </c>
      <c r="BM40" s="1">
        <f>IF(COUNTIF(BL$40:BL40,BL40)&gt;1,1,0)</f>
        <v>0</v>
      </c>
      <c r="BN40" s="1">
        <f>BM40+BK40</f>
        <v>1516272164</v>
      </c>
      <c r="BO40" s="1">
        <f>RANK(BN40,BN$40:BN$51,0)</f>
        <v>2</v>
      </c>
      <c r="BP40" s="1">
        <f>IF(COUNTIF(BO$40:BO40,BO40)&gt;1,1,0)</f>
        <v>0</v>
      </c>
      <c r="BQ40" s="1">
        <f>BP40+BN40</f>
        <v>1516272164</v>
      </c>
      <c r="BR40" s="1">
        <f>RANK(BQ40,BQ$40:BQ$51,0)</f>
        <v>2</v>
      </c>
      <c r="BS40" s="1">
        <f>IF(COUNTIF(BR$40:BR40,BR40)&gt;1,1,0)</f>
        <v>0</v>
      </c>
      <c r="BT40" s="1">
        <f>BS40+BQ40</f>
        <v>1516272164</v>
      </c>
      <c r="BU40" s="1">
        <f>RANK(BT40,BT$40:BT$51,0)</f>
        <v>2</v>
      </c>
    </row>
    <row r="41" spans="1:73" ht="16.5">
      <c r="A41" s="34">
        <f t="shared" si="25"/>
        <v>63</v>
      </c>
      <c r="B41" s="34" t="s">
        <v>27</v>
      </c>
      <c r="C41" s="34">
        <v>1</v>
      </c>
      <c r="D41" s="35">
        <v>0.5625</v>
      </c>
      <c r="E41" s="34" t="s">
        <v>55</v>
      </c>
      <c r="F41" s="34" t="str">
        <f>Saisondaten!$B$20</f>
        <v>1. MKC Duisburg</v>
      </c>
      <c r="G41" s="34" t="s">
        <v>43</v>
      </c>
      <c r="H41" s="34" t="str">
        <f>Saisondaten!$C$22</f>
        <v>KSV Glauchau</v>
      </c>
      <c r="I41" s="36">
        <v>4</v>
      </c>
      <c r="J41" s="34" t="s">
        <v>43</v>
      </c>
      <c r="K41" s="36">
        <v>1</v>
      </c>
      <c r="L41" s="194" t="str">
        <f>IF(VLOOKUP(A41,Schiedsrichter!$A$3:$I$176,8,FALSE)=0,"-",VLOOKUP(A41,Schiedsrichter!$A$3:$I$176,8,FALSE))</f>
        <v>RSV Hannover</v>
      </c>
      <c r="M41" s="199" t="s">
        <v>249</v>
      </c>
      <c r="N41" s="197" t="str">
        <f>IF(VLOOKUP(A41,Schiedsrichter!$A$3:$I$176,9,FALSE)=0,"-",VLOOKUP(A41,Schiedsrichter!$A$3:$I$176,9,FALSE))</f>
        <v>Göttinger PC</v>
      </c>
      <c r="P41" s="1">
        <f t="shared" si="5"/>
        <v>1</v>
      </c>
      <c r="Q41" s="1" t="str">
        <f t="shared" si="18"/>
        <v>1. MKC Duisburg</v>
      </c>
      <c r="R41" s="1">
        <f t="shared" si="6"/>
        <v>1</v>
      </c>
      <c r="S41" s="1">
        <f t="shared" si="7"/>
        <v>0</v>
      </c>
      <c r="T41" s="1">
        <f t="shared" si="8"/>
        <v>0</v>
      </c>
      <c r="U41" s="1">
        <f t="shared" si="9"/>
        <v>4</v>
      </c>
      <c r="V41" s="1">
        <f t="shared" si="10"/>
        <v>1</v>
      </c>
      <c r="W41" s="1" t="str">
        <f t="shared" si="11"/>
        <v>KSV Glauchau</v>
      </c>
      <c r="X41" s="1">
        <f t="shared" si="12"/>
        <v>0</v>
      </c>
      <c r="Y41" s="1">
        <f t="shared" si="13"/>
        <v>0</v>
      </c>
      <c r="Z41" s="1">
        <f t="shared" si="14"/>
        <v>1</v>
      </c>
      <c r="AA41" s="1">
        <f t="shared" si="15"/>
        <v>1</v>
      </c>
      <c r="AB41" s="1">
        <f t="shared" si="16"/>
        <v>4</v>
      </c>
      <c r="AD41" s="1">
        <f aca="true" t="shared" si="28" ref="AD41:AD51">RANK(BU41,$BU$40:$BU$51,1)</f>
        <v>1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6</v>
      </c>
      <c r="AH41" s="1">
        <f t="shared" si="27"/>
        <v>0</v>
      </c>
      <c r="AI41" s="1">
        <f t="shared" si="27"/>
        <v>0</v>
      </c>
      <c r="AJ41" s="1">
        <f t="shared" si="27"/>
        <v>27</v>
      </c>
      <c r="AK41" s="1">
        <f t="shared" si="27"/>
        <v>9</v>
      </c>
      <c r="AL41" s="1">
        <f aca="true" t="shared" si="29" ref="AL41:AL51">AG41*3+AH41*1</f>
        <v>18</v>
      </c>
      <c r="AM41" s="1">
        <f aca="true" t="shared" si="30" ref="AM41:AM51">AL41*99999999+(AJ41-AK41)*888888+AJ41*7777</f>
        <v>1816209945</v>
      </c>
      <c r="AN41" s="1">
        <f aca="true" t="shared" si="31" ref="AN41:AN51">RANK(AM41,$AM$40:$AM$51,0)</f>
        <v>1</v>
      </c>
      <c r="AO41" s="1">
        <f>IF(COUNTIF(AN$40:AN41,AN41)&gt;1,1,0)</f>
        <v>0</v>
      </c>
      <c r="AP41" s="1">
        <f aca="true" t="shared" si="32" ref="AP41:AP51">AO41+AM41</f>
        <v>1816209945</v>
      </c>
      <c r="AQ41" s="1">
        <f aca="true" t="shared" si="33" ref="AQ41:AQ51">RANK(AP41,AP$40:AP$51,0)</f>
        <v>1</v>
      </c>
      <c r="AR41" s="1">
        <f>IF(COUNTIF(AQ$40:AQ41,AQ41)&gt;1,1,0)</f>
        <v>0</v>
      </c>
      <c r="AS41" s="1">
        <f aca="true" t="shared" si="34" ref="AS41:AS51">AR41+AP41</f>
        <v>1816209945</v>
      </c>
      <c r="AT41" s="1">
        <f aca="true" t="shared" si="35" ref="AT41:AT51">RANK(AS41,AS$40:AS$51,0)</f>
        <v>1</v>
      </c>
      <c r="AU41" s="1">
        <f>IF(COUNTIF(AT$40:AT41,AT41)&gt;1,1,0)</f>
        <v>0</v>
      </c>
      <c r="AV41" s="1">
        <f aca="true" t="shared" si="36" ref="AV41:AV51">AU41+AS41</f>
        <v>1816209945</v>
      </c>
      <c r="AW41" s="1">
        <f aca="true" t="shared" si="37" ref="AW41:AW51">RANK(AV41,AV$40:AV$51,0)</f>
        <v>1</v>
      </c>
      <c r="AX41" s="1">
        <f>IF(COUNTIF(AW$40:AW41,AW41)&gt;1,1,0)</f>
        <v>0</v>
      </c>
      <c r="AY41" s="1">
        <f aca="true" t="shared" si="38" ref="AY41:AY51">AX41+AV41</f>
        <v>1816209945</v>
      </c>
      <c r="AZ41" s="1">
        <f aca="true" t="shared" si="39" ref="AZ41:AZ51">RANK(AY41,AY$40:AY$51,0)</f>
        <v>1</v>
      </c>
      <c r="BA41" s="1">
        <f>IF(COUNTIF(AZ$40:AZ41,AZ41)&gt;1,1,0)</f>
        <v>0</v>
      </c>
      <c r="BB41" s="1">
        <f aca="true" t="shared" si="40" ref="BB41:BB51">BA41+AY41</f>
        <v>1816209945</v>
      </c>
      <c r="BC41" s="1">
        <f aca="true" t="shared" si="41" ref="BC41:BC51">RANK(BB41,BB$40:BB$51,0)</f>
        <v>1</v>
      </c>
      <c r="BD41" s="1">
        <f>IF(COUNTIF(BC$40:BC41,BC41)&gt;1,1,0)</f>
        <v>0</v>
      </c>
      <c r="BE41" s="1">
        <f aca="true" t="shared" si="42" ref="BE41:BE51">BD41+BB41</f>
        <v>1816209945</v>
      </c>
      <c r="BF41" s="1">
        <f aca="true" t="shared" si="43" ref="BF41:BF51">RANK(BE41,BE$40:BE$51,0)</f>
        <v>1</v>
      </c>
      <c r="BG41" s="1">
        <f>IF(COUNTIF(BF$40:BF41,BF41)&gt;1,1,0)</f>
        <v>0</v>
      </c>
      <c r="BH41" s="1">
        <f aca="true" t="shared" si="44" ref="BH41:BH51">BG41+BE41</f>
        <v>1816209945</v>
      </c>
      <c r="BI41" s="1">
        <f aca="true" t="shared" si="45" ref="BI41:BI51">RANK(BH41,BH$40:BH$51,0)</f>
        <v>1</v>
      </c>
      <c r="BJ41" s="1">
        <f>IF(COUNTIF(BI$40:BI41,BI41)&gt;1,1,0)</f>
        <v>0</v>
      </c>
      <c r="BK41" s="1">
        <f aca="true" t="shared" si="46" ref="BK41:BK51">BJ41+BH41</f>
        <v>1816209945</v>
      </c>
      <c r="BL41" s="1">
        <f aca="true" t="shared" si="47" ref="BL41:BL51">RANK(BK41,BK$40:BK$51,0)</f>
        <v>1</v>
      </c>
      <c r="BM41" s="1">
        <f>IF(COUNTIF(BL$40:BL41,BL41)&gt;1,1,0)</f>
        <v>0</v>
      </c>
      <c r="BN41" s="1">
        <f aca="true" t="shared" si="48" ref="BN41:BN51">BM41+BK41</f>
        <v>1816209945</v>
      </c>
      <c r="BO41" s="1">
        <f aca="true" t="shared" si="49" ref="BO41:BO51">RANK(BN41,BN$40:BN$51,0)</f>
        <v>1</v>
      </c>
      <c r="BP41" s="1">
        <f>IF(COUNTIF(BO$40:BO41,BO41)&gt;1,1,0)</f>
        <v>0</v>
      </c>
      <c r="BQ41" s="1">
        <f aca="true" t="shared" si="50" ref="BQ41:BQ51">BP41+BN41</f>
        <v>1816209945</v>
      </c>
      <c r="BR41" s="1">
        <f aca="true" t="shared" si="51" ref="BR41:BR51">RANK(BQ41,BQ$40:BQ$51,0)</f>
        <v>1</v>
      </c>
      <c r="BS41" s="1">
        <f>IF(COUNTIF(BR$40:BR41,BR41)&gt;1,1,0)</f>
        <v>0</v>
      </c>
      <c r="BT41" s="1">
        <f aca="true" t="shared" si="52" ref="BT41:BT51">BS41+BQ41</f>
        <v>1816209945</v>
      </c>
      <c r="BU41" s="1">
        <f aca="true" t="shared" si="53" ref="BU41:BU51">RANK(BT41,BT$40:BT$51,0)</f>
        <v>1</v>
      </c>
    </row>
    <row r="42" spans="1:73" ht="16.5">
      <c r="A42" s="34">
        <f t="shared" si="25"/>
        <v>64</v>
      </c>
      <c r="B42" s="34" t="s">
        <v>27</v>
      </c>
      <c r="C42" s="34">
        <v>2</v>
      </c>
      <c r="D42" s="35">
        <v>0.5625</v>
      </c>
      <c r="E42" s="34" t="s">
        <v>55</v>
      </c>
      <c r="F42" s="34" t="str">
        <f>Saisondaten!$B$21</f>
        <v>KC Wetter</v>
      </c>
      <c r="G42" s="34" t="s">
        <v>43</v>
      </c>
      <c r="H42" s="34" t="str">
        <f>Saisondaten!$C$23</f>
        <v>KSVH Berlin</v>
      </c>
      <c r="I42" s="36">
        <v>1</v>
      </c>
      <c r="J42" s="34" t="s">
        <v>43</v>
      </c>
      <c r="K42" s="36">
        <v>6</v>
      </c>
      <c r="L42" s="194" t="str">
        <f>IF(VLOOKUP(A42,Schiedsrichter!$A$3:$I$176,8,FALSE)=0,"-",VLOOKUP(A42,Schiedsrichter!$A$3:$I$176,8,FALSE))</f>
        <v>VK Berlin</v>
      </c>
      <c r="M42" s="199" t="s">
        <v>249</v>
      </c>
      <c r="N42" s="197" t="str">
        <f>IF(VLOOKUP(A42,Schiedsrichter!$A$3:$I$176,9,FALSE)=0,"-",VLOOKUP(A42,Schiedsrichter!$A$3:$I$176,9,FALSE))</f>
        <v>KGW Essen</v>
      </c>
      <c r="P42" s="1">
        <f t="shared" si="5"/>
        <v>1</v>
      </c>
      <c r="Q42" s="1" t="str">
        <f t="shared" si="18"/>
        <v>KC Wetter</v>
      </c>
      <c r="R42" s="1">
        <f t="shared" si="6"/>
        <v>0</v>
      </c>
      <c r="S42" s="1">
        <f t="shared" si="7"/>
        <v>0</v>
      </c>
      <c r="T42" s="1">
        <f t="shared" si="8"/>
        <v>1</v>
      </c>
      <c r="U42" s="1">
        <f t="shared" si="9"/>
        <v>1</v>
      </c>
      <c r="V42" s="1">
        <f t="shared" si="10"/>
        <v>6</v>
      </c>
      <c r="W42" s="1" t="str">
        <f t="shared" si="11"/>
        <v>KSVH Berlin</v>
      </c>
      <c r="X42" s="1">
        <f t="shared" si="12"/>
        <v>1</v>
      </c>
      <c r="Y42" s="1">
        <f t="shared" si="13"/>
        <v>0</v>
      </c>
      <c r="Z42" s="1">
        <f t="shared" si="14"/>
        <v>0</v>
      </c>
      <c r="AA42" s="1">
        <f t="shared" si="15"/>
        <v>6</v>
      </c>
      <c r="AB42" s="1">
        <f t="shared" si="16"/>
        <v>1</v>
      </c>
      <c r="AD42" s="1">
        <f t="shared" si="28"/>
        <v>6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2</v>
      </c>
      <c r="AH42" s="1">
        <f t="shared" si="27"/>
        <v>2</v>
      </c>
      <c r="AI42" s="1">
        <f t="shared" si="27"/>
        <v>2</v>
      </c>
      <c r="AJ42" s="1">
        <f t="shared" si="27"/>
        <v>21</v>
      </c>
      <c r="AK42" s="1">
        <f t="shared" si="27"/>
        <v>18</v>
      </c>
      <c r="AL42" s="1">
        <f t="shared" si="29"/>
        <v>8</v>
      </c>
      <c r="AM42" s="1">
        <f t="shared" si="30"/>
        <v>802829973</v>
      </c>
      <c r="AN42" s="1">
        <f t="shared" si="31"/>
        <v>6</v>
      </c>
      <c r="AO42" s="1">
        <f>IF(COUNTIF(AN$40:AN42,AN42)&gt;1,1,0)</f>
        <v>0</v>
      </c>
      <c r="AP42" s="1">
        <f t="shared" si="32"/>
        <v>802829973</v>
      </c>
      <c r="AQ42" s="1">
        <f t="shared" si="33"/>
        <v>6</v>
      </c>
      <c r="AR42" s="1">
        <f>IF(COUNTIF(AQ$40:AQ42,AQ42)&gt;1,1,0)</f>
        <v>0</v>
      </c>
      <c r="AS42" s="1">
        <f t="shared" si="34"/>
        <v>802829973</v>
      </c>
      <c r="AT42" s="1">
        <f t="shared" si="35"/>
        <v>6</v>
      </c>
      <c r="AU42" s="1">
        <f>IF(COUNTIF(AT$40:AT42,AT42)&gt;1,1,0)</f>
        <v>0</v>
      </c>
      <c r="AV42" s="1">
        <f t="shared" si="36"/>
        <v>802829973</v>
      </c>
      <c r="AW42" s="1">
        <f t="shared" si="37"/>
        <v>6</v>
      </c>
      <c r="AX42" s="1">
        <f>IF(COUNTIF(AW$40:AW42,AW42)&gt;1,1,0)</f>
        <v>0</v>
      </c>
      <c r="AY42" s="1">
        <f t="shared" si="38"/>
        <v>802829973</v>
      </c>
      <c r="AZ42" s="1">
        <f t="shared" si="39"/>
        <v>6</v>
      </c>
      <c r="BA42" s="1">
        <f>IF(COUNTIF(AZ$40:AZ42,AZ42)&gt;1,1,0)</f>
        <v>0</v>
      </c>
      <c r="BB42" s="1">
        <f t="shared" si="40"/>
        <v>802829973</v>
      </c>
      <c r="BC42" s="1">
        <f t="shared" si="41"/>
        <v>6</v>
      </c>
      <c r="BD42" s="1">
        <f>IF(COUNTIF(BC$40:BC42,BC42)&gt;1,1,0)</f>
        <v>0</v>
      </c>
      <c r="BE42" s="1">
        <f t="shared" si="42"/>
        <v>802829973</v>
      </c>
      <c r="BF42" s="1">
        <f t="shared" si="43"/>
        <v>6</v>
      </c>
      <c r="BG42" s="1">
        <f>IF(COUNTIF(BF$40:BF42,BF42)&gt;1,1,0)</f>
        <v>0</v>
      </c>
      <c r="BH42" s="1">
        <f t="shared" si="44"/>
        <v>802829973</v>
      </c>
      <c r="BI42" s="1">
        <f t="shared" si="45"/>
        <v>6</v>
      </c>
      <c r="BJ42" s="1">
        <f>IF(COUNTIF(BI$40:BI42,BI42)&gt;1,1,0)</f>
        <v>0</v>
      </c>
      <c r="BK42" s="1">
        <f t="shared" si="46"/>
        <v>802829973</v>
      </c>
      <c r="BL42" s="1">
        <f t="shared" si="47"/>
        <v>6</v>
      </c>
      <c r="BM42" s="1">
        <f>IF(COUNTIF(BL$40:BL42,BL42)&gt;1,1,0)</f>
        <v>0</v>
      </c>
      <c r="BN42" s="1">
        <f t="shared" si="48"/>
        <v>802829973</v>
      </c>
      <c r="BO42" s="1">
        <f t="shared" si="49"/>
        <v>6</v>
      </c>
      <c r="BP42" s="1">
        <f>IF(COUNTIF(BO$40:BO42,BO42)&gt;1,1,0)</f>
        <v>0</v>
      </c>
      <c r="BQ42" s="1">
        <f t="shared" si="50"/>
        <v>802829973</v>
      </c>
      <c r="BR42" s="1">
        <f t="shared" si="51"/>
        <v>6</v>
      </c>
      <c r="BS42" s="1">
        <f>IF(COUNTIF(BR$40:BR42,BR42)&gt;1,1,0)</f>
        <v>0</v>
      </c>
      <c r="BT42" s="1">
        <f t="shared" si="52"/>
        <v>802829973</v>
      </c>
      <c r="BU42" s="1">
        <f t="shared" si="53"/>
        <v>6</v>
      </c>
    </row>
    <row r="43" spans="1:73" ht="16.5">
      <c r="A43" s="15">
        <f t="shared" si="25"/>
        <v>65</v>
      </c>
      <c r="B43" s="15" t="s">
        <v>27</v>
      </c>
      <c r="C43" s="15">
        <v>1</v>
      </c>
      <c r="D43" s="14">
        <v>0.59375</v>
      </c>
      <c r="E43" s="15" t="s">
        <v>55</v>
      </c>
      <c r="F43" s="15" t="str">
        <f>Saisondaten!$B$19</f>
        <v>WSF Liblar</v>
      </c>
      <c r="G43" s="15" t="s">
        <v>43</v>
      </c>
      <c r="H43" s="15" t="str">
        <f>Saisondaten!$C$19</f>
        <v>KCNW Berlin</v>
      </c>
      <c r="I43" s="22">
        <v>3</v>
      </c>
      <c r="J43" s="15" t="s">
        <v>43</v>
      </c>
      <c r="K43" s="22">
        <v>1</v>
      </c>
      <c r="L43" s="181" t="str">
        <f>IF(VLOOKUP(A43,Schiedsrichter!$A$3:$I$176,8,FALSE)=0,"-",VLOOKUP(A43,Schiedsrichter!$A$3:$I$176,8,FALSE))</f>
        <v>KSV Glauchau</v>
      </c>
      <c r="M43" s="175" t="s">
        <v>249</v>
      </c>
      <c r="N43" s="187" t="str">
        <f>IF(VLOOKUP(A43,Schiedsrichter!$A$3:$I$176,9,FALSE)=0,"-",VLOOKUP(A43,Schiedsrichter!$A$3:$I$176,9,FALSE))</f>
        <v>KC Wetter</v>
      </c>
      <c r="P43" s="1">
        <f t="shared" si="5"/>
        <v>1</v>
      </c>
      <c r="Q43" s="1" t="str">
        <f t="shared" si="18"/>
        <v>WSF Liblar</v>
      </c>
      <c r="R43" s="1">
        <f t="shared" si="6"/>
        <v>1</v>
      </c>
      <c r="S43" s="1">
        <f t="shared" si="7"/>
        <v>0</v>
      </c>
      <c r="T43" s="1">
        <f t="shared" si="8"/>
        <v>0</v>
      </c>
      <c r="U43" s="1">
        <f t="shared" si="9"/>
        <v>3</v>
      </c>
      <c r="V43" s="1">
        <f t="shared" si="10"/>
        <v>1</v>
      </c>
      <c r="W43" s="1" t="str">
        <f t="shared" si="11"/>
        <v>KCNW Berlin</v>
      </c>
      <c r="X43" s="1">
        <f t="shared" si="12"/>
        <v>0</v>
      </c>
      <c r="Y43" s="1">
        <f t="shared" si="13"/>
        <v>0</v>
      </c>
      <c r="Z43" s="1">
        <f t="shared" si="14"/>
        <v>1</v>
      </c>
      <c r="AA43" s="1">
        <f t="shared" si="15"/>
        <v>1</v>
      </c>
      <c r="AB43" s="1">
        <f t="shared" si="16"/>
        <v>3</v>
      </c>
      <c r="AD43" s="1">
        <f t="shared" si="28"/>
        <v>11</v>
      </c>
      <c r="AE43" s="1" t="str">
        <f t="shared" si="26"/>
        <v>KC Wetter</v>
      </c>
      <c r="AF43" s="1" t="str">
        <f>Saisondaten!$B$17</f>
        <v>A</v>
      </c>
      <c r="AG43" s="1">
        <f t="shared" si="27"/>
        <v>1</v>
      </c>
      <c r="AH43" s="1">
        <f t="shared" si="27"/>
        <v>0</v>
      </c>
      <c r="AI43" s="1">
        <f t="shared" si="27"/>
        <v>5</v>
      </c>
      <c r="AJ43" s="1">
        <f t="shared" si="27"/>
        <v>13</v>
      </c>
      <c r="AK43" s="1">
        <f t="shared" si="27"/>
        <v>28</v>
      </c>
      <c r="AL43" s="1">
        <f t="shared" si="29"/>
        <v>3</v>
      </c>
      <c r="AM43" s="1">
        <f t="shared" si="30"/>
        <v>286767778</v>
      </c>
      <c r="AN43" s="1">
        <f t="shared" si="31"/>
        <v>11</v>
      </c>
      <c r="AO43" s="1">
        <f>IF(COUNTIF(AN$40:AN43,AN43)&gt;1,1,0)</f>
        <v>0</v>
      </c>
      <c r="AP43" s="1">
        <f t="shared" si="32"/>
        <v>286767778</v>
      </c>
      <c r="AQ43" s="1">
        <f t="shared" si="33"/>
        <v>11</v>
      </c>
      <c r="AR43" s="1">
        <f>IF(COUNTIF(AQ$40:AQ43,AQ43)&gt;1,1,0)</f>
        <v>0</v>
      </c>
      <c r="AS43" s="1">
        <f t="shared" si="34"/>
        <v>286767778</v>
      </c>
      <c r="AT43" s="1">
        <f t="shared" si="35"/>
        <v>11</v>
      </c>
      <c r="AU43" s="1">
        <f>IF(COUNTIF(AT$40:AT43,AT43)&gt;1,1,0)</f>
        <v>0</v>
      </c>
      <c r="AV43" s="1">
        <f t="shared" si="36"/>
        <v>286767778</v>
      </c>
      <c r="AW43" s="1">
        <f t="shared" si="37"/>
        <v>11</v>
      </c>
      <c r="AX43" s="1">
        <f>IF(COUNTIF(AW$40:AW43,AW43)&gt;1,1,0)</f>
        <v>0</v>
      </c>
      <c r="AY43" s="1">
        <f t="shared" si="38"/>
        <v>286767778</v>
      </c>
      <c r="AZ43" s="1">
        <f t="shared" si="39"/>
        <v>11</v>
      </c>
      <c r="BA43" s="1">
        <f>IF(COUNTIF(AZ$40:AZ43,AZ43)&gt;1,1,0)</f>
        <v>0</v>
      </c>
      <c r="BB43" s="1">
        <f t="shared" si="40"/>
        <v>286767778</v>
      </c>
      <c r="BC43" s="1">
        <f t="shared" si="41"/>
        <v>11</v>
      </c>
      <c r="BD43" s="1">
        <f>IF(COUNTIF(BC$40:BC43,BC43)&gt;1,1,0)</f>
        <v>0</v>
      </c>
      <c r="BE43" s="1">
        <f t="shared" si="42"/>
        <v>286767778</v>
      </c>
      <c r="BF43" s="1">
        <f t="shared" si="43"/>
        <v>11</v>
      </c>
      <c r="BG43" s="1">
        <f>IF(COUNTIF(BF$40:BF43,BF43)&gt;1,1,0)</f>
        <v>0</v>
      </c>
      <c r="BH43" s="1">
        <f t="shared" si="44"/>
        <v>286767778</v>
      </c>
      <c r="BI43" s="1">
        <f t="shared" si="45"/>
        <v>11</v>
      </c>
      <c r="BJ43" s="1">
        <f>IF(COUNTIF(BI$40:BI43,BI43)&gt;1,1,0)</f>
        <v>0</v>
      </c>
      <c r="BK43" s="1">
        <f t="shared" si="46"/>
        <v>286767778</v>
      </c>
      <c r="BL43" s="1">
        <f t="shared" si="47"/>
        <v>11</v>
      </c>
      <c r="BM43" s="1">
        <f>IF(COUNTIF(BL$40:BL43,BL43)&gt;1,1,0)</f>
        <v>0</v>
      </c>
      <c r="BN43" s="1">
        <f t="shared" si="48"/>
        <v>286767778</v>
      </c>
      <c r="BO43" s="1">
        <f t="shared" si="49"/>
        <v>11</v>
      </c>
      <c r="BP43" s="1">
        <f>IF(COUNTIF(BO$40:BO43,BO43)&gt;1,1,0)</f>
        <v>0</v>
      </c>
      <c r="BQ43" s="1">
        <f t="shared" si="50"/>
        <v>286767778</v>
      </c>
      <c r="BR43" s="1">
        <f t="shared" si="51"/>
        <v>11</v>
      </c>
      <c r="BS43" s="1">
        <f>IF(COUNTIF(BR$40:BR43,BR43)&gt;1,1,0)</f>
        <v>0</v>
      </c>
      <c r="BT43" s="1">
        <f t="shared" si="52"/>
        <v>286767778</v>
      </c>
      <c r="BU43" s="1">
        <f t="shared" si="53"/>
        <v>11</v>
      </c>
    </row>
    <row r="44" spans="1:73" ht="16.5">
      <c r="A44" s="17">
        <f t="shared" si="25"/>
        <v>66</v>
      </c>
      <c r="B44" s="17" t="s">
        <v>27</v>
      </c>
      <c r="C44" s="17">
        <v>2</v>
      </c>
      <c r="D44" s="18">
        <v>0.59375</v>
      </c>
      <c r="E44" s="17" t="s">
        <v>55</v>
      </c>
      <c r="F44" s="17" t="str">
        <f>Saisondaten!$B$18</f>
        <v>KRM Essen</v>
      </c>
      <c r="G44" s="17" t="s">
        <v>43</v>
      </c>
      <c r="H44" s="17" t="str">
        <f>Saisondaten!$C$18</f>
        <v>ACC Hamburg</v>
      </c>
      <c r="I44" s="24">
        <v>3</v>
      </c>
      <c r="J44" s="17" t="s">
        <v>43</v>
      </c>
      <c r="K44" s="24">
        <v>4</v>
      </c>
      <c r="L44" s="183" t="str">
        <f>IF(VLOOKUP(A44,Schiedsrichter!$A$3:$I$176,8,FALSE)=0,"-",VLOOKUP(A44,Schiedsrichter!$A$3:$I$176,8,FALSE))</f>
        <v>KSVH Berlin</v>
      </c>
      <c r="M44" s="177" t="s">
        <v>249</v>
      </c>
      <c r="N44" s="189" t="str">
        <f>IF(VLOOKUP(A44,Schiedsrichter!$A$3:$I$176,9,FALSE)=0,"-",VLOOKUP(A44,Schiedsrichter!$A$3:$I$176,9,FALSE))</f>
        <v>1. MKC Duisburg</v>
      </c>
      <c r="P44" s="1">
        <f t="shared" si="5"/>
        <v>1</v>
      </c>
      <c r="Q44" s="1" t="str">
        <f t="shared" si="18"/>
        <v>KRM Essen</v>
      </c>
      <c r="R44" s="1">
        <f t="shared" si="6"/>
        <v>0</v>
      </c>
      <c r="S44" s="1">
        <f t="shared" si="7"/>
        <v>0</v>
      </c>
      <c r="T44" s="1">
        <f t="shared" si="8"/>
        <v>1</v>
      </c>
      <c r="U44" s="1">
        <f t="shared" si="9"/>
        <v>3</v>
      </c>
      <c r="V44" s="1">
        <f t="shared" si="10"/>
        <v>4</v>
      </c>
      <c r="W44" s="1" t="str">
        <f t="shared" si="11"/>
        <v>ACC Hamburg</v>
      </c>
      <c r="X44" s="1">
        <f t="shared" si="12"/>
        <v>1</v>
      </c>
      <c r="Y44" s="1">
        <f t="shared" si="13"/>
        <v>0</v>
      </c>
      <c r="Z44" s="1">
        <f t="shared" si="14"/>
        <v>0</v>
      </c>
      <c r="AA44" s="1">
        <f t="shared" si="15"/>
        <v>4</v>
      </c>
      <c r="AB44" s="1">
        <f t="shared" si="16"/>
        <v>3</v>
      </c>
      <c r="AD44" s="1">
        <f t="shared" si="28"/>
        <v>7</v>
      </c>
      <c r="AE44" s="1" t="str">
        <f t="shared" si="26"/>
        <v>KGW Essen</v>
      </c>
      <c r="AF44" s="1" t="str">
        <f>Saisondaten!$B$17</f>
        <v>A</v>
      </c>
      <c r="AG44" s="1">
        <f t="shared" si="27"/>
        <v>2</v>
      </c>
      <c r="AH44" s="1">
        <f t="shared" si="27"/>
        <v>2</v>
      </c>
      <c r="AI44" s="1">
        <f t="shared" si="27"/>
        <v>2</v>
      </c>
      <c r="AJ44" s="1">
        <f t="shared" si="27"/>
        <v>12</v>
      </c>
      <c r="AK44" s="1">
        <f t="shared" si="27"/>
        <v>17</v>
      </c>
      <c r="AL44" s="1">
        <f t="shared" si="29"/>
        <v>8</v>
      </c>
      <c r="AM44" s="1">
        <f t="shared" si="30"/>
        <v>795648876</v>
      </c>
      <c r="AN44" s="1">
        <f t="shared" si="31"/>
        <v>7</v>
      </c>
      <c r="AO44" s="1">
        <f>IF(COUNTIF(AN$40:AN44,AN44)&gt;1,1,0)</f>
        <v>0</v>
      </c>
      <c r="AP44" s="1">
        <f t="shared" si="32"/>
        <v>795648876</v>
      </c>
      <c r="AQ44" s="1">
        <f t="shared" si="33"/>
        <v>7</v>
      </c>
      <c r="AR44" s="1">
        <f>IF(COUNTIF(AQ$40:AQ44,AQ44)&gt;1,1,0)</f>
        <v>0</v>
      </c>
      <c r="AS44" s="1">
        <f t="shared" si="34"/>
        <v>795648876</v>
      </c>
      <c r="AT44" s="1">
        <f t="shared" si="35"/>
        <v>7</v>
      </c>
      <c r="AU44" s="1">
        <f>IF(COUNTIF(AT$40:AT44,AT44)&gt;1,1,0)</f>
        <v>0</v>
      </c>
      <c r="AV44" s="1">
        <f t="shared" si="36"/>
        <v>795648876</v>
      </c>
      <c r="AW44" s="1">
        <f t="shared" si="37"/>
        <v>7</v>
      </c>
      <c r="AX44" s="1">
        <f>IF(COUNTIF(AW$40:AW44,AW44)&gt;1,1,0)</f>
        <v>0</v>
      </c>
      <c r="AY44" s="1">
        <f t="shared" si="38"/>
        <v>795648876</v>
      </c>
      <c r="AZ44" s="1">
        <f t="shared" si="39"/>
        <v>7</v>
      </c>
      <c r="BA44" s="1">
        <f>IF(COUNTIF(AZ$40:AZ44,AZ44)&gt;1,1,0)</f>
        <v>0</v>
      </c>
      <c r="BB44" s="1">
        <f t="shared" si="40"/>
        <v>795648876</v>
      </c>
      <c r="BC44" s="1">
        <f t="shared" si="41"/>
        <v>7</v>
      </c>
      <c r="BD44" s="1">
        <f>IF(COUNTIF(BC$40:BC44,BC44)&gt;1,1,0)</f>
        <v>0</v>
      </c>
      <c r="BE44" s="1">
        <f t="shared" si="42"/>
        <v>795648876</v>
      </c>
      <c r="BF44" s="1">
        <f t="shared" si="43"/>
        <v>7</v>
      </c>
      <c r="BG44" s="1">
        <f>IF(COUNTIF(BF$40:BF44,BF44)&gt;1,1,0)</f>
        <v>0</v>
      </c>
      <c r="BH44" s="1">
        <f t="shared" si="44"/>
        <v>795648876</v>
      </c>
      <c r="BI44" s="1">
        <f t="shared" si="45"/>
        <v>7</v>
      </c>
      <c r="BJ44" s="1">
        <f>IF(COUNTIF(BI$40:BI44,BI44)&gt;1,1,0)</f>
        <v>0</v>
      </c>
      <c r="BK44" s="1">
        <f t="shared" si="46"/>
        <v>795648876</v>
      </c>
      <c r="BL44" s="1">
        <f t="shared" si="47"/>
        <v>7</v>
      </c>
      <c r="BM44" s="1">
        <f>IF(COUNTIF(BL$40:BL44,BL44)&gt;1,1,0)</f>
        <v>0</v>
      </c>
      <c r="BN44" s="1">
        <f t="shared" si="48"/>
        <v>795648876</v>
      </c>
      <c r="BO44" s="1">
        <f t="shared" si="49"/>
        <v>7</v>
      </c>
      <c r="BP44" s="1">
        <f>IF(COUNTIF(BO$40:BO44,BO44)&gt;1,1,0)</f>
        <v>0</v>
      </c>
      <c r="BQ44" s="1">
        <f t="shared" si="50"/>
        <v>795648876</v>
      </c>
      <c r="BR44" s="1">
        <f t="shared" si="51"/>
        <v>7</v>
      </c>
      <c r="BS44" s="1">
        <f>IF(COUNTIF(BR$40:BR44,BR44)&gt;1,1,0)</f>
        <v>0</v>
      </c>
      <c r="BT44" s="1">
        <f t="shared" si="52"/>
        <v>795648876</v>
      </c>
      <c r="BU44" s="1">
        <f t="shared" si="53"/>
        <v>7</v>
      </c>
    </row>
    <row r="45" spans="4:73" ht="16.5">
      <c r="D45" s="2"/>
      <c r="M45" s="3"/>
      <c r="P45" s="1" t="str">
        <f t="shared" si="5"/>
        <v>na</v>
      </c>
      <c r="Q45" s="1">
        <f t="shared" si="18"/>
        <v>0</v>
      </c>
      <c r="R45" s="1">
        <f t="shared" si="6"/>
      </c>
      <c r="S45" s="1">
        <f t="shared" si="7"/>
      </c>
      <c r="T45" s="1">
        <f t="shared" si="8"/>
      </c>
      <c r="U45" s="1">
        <f t="shared" si="9"/>
      </c>
      <c r="V45" s="1">
        <f t="shared" si="10"/>
      </c>
      <c r="W45" s="1">
        <f t="shared" si="11"/>
        <v>0</v>
      </c>
      <c r="X45" s="1">
        <f t="shared" si="12"/>
      </c>
      <c r="Y45" s="1">
        <f t="shared" si="13"/>
      </c>
      <c r="Z45" s="1">
        <f t="shared" si="14"/>
      </c>
      <c r="AA45" s="1">
        <f t="shared" si="15"/>
      </c>
      <c r="AB45" s="1">
        <f t="shared" si="16"/>
      </c>
      <c r="AD45" s="1">
        <f t="shared" si="28"/>
        <v>10</v>
      </c>
      <c r="AE45" s="1" t="str">
        <f t="shared" si="26"/>
        <v>Göttinger PC</v>
      </c>
      <c r="AF45" s="1" t="str">
        <f>Saisondaten!$B$17</f>
        <v>A</v>
      </c>
      <c r="AG45" s="1">
        <f t="shared" si="27"/>
        <v>1</v>
      </c>
      <c r="AH45" s="1">
        <f t="shared" si="27"/>
        <v>0</v>
      </c>
      <c r="AI45" s="1">
        <f t="shared" si="27"/>
        <v>5</v>
      </c>
      <c r="AJ45" s="1">
        <f t="shared" si="27"/>
        <v>22</v>
      </c>
      <c r="AK45" s="1">
        <f t="shared" si="27"/>
        <v>35</v>
      </c>
      <c r="AL45" s="1">
        <f t="shared" si="29"/>
        <v>3</v>
      </c>
      <c r="AM45" s="1">
        <f t="shared" si="30"/>
        <v>288615547</v>
      </c>
      <c r="AN45" s="1">
        <f t="shared" si="31"/>
        <v>10</v>
      </c>
      <c r="AO45" s="1">
        <f>IF(COUNTIF(AN$40:AN45,AN45)&gt;1,1,0)</f>
        <v>0</v>
      </c>
      <c r="AP45" s="1">
        <f t="shared" si="32"/>
        <v>288615547</v>
      </c>
      <c r="AQ45" s="1">
        <f t="shared" si="33"/>
        <v>10</v>
      </c>
      <c r="AR45" s="1">
        <f>IF(COUNTIF(AQ$40:AQ45,AQ45)&gt;1,1,0)</f>
        <v>0</v>
      </c>
      <c r="AS45" s="1">
        <f t="shared" si="34"/>
        <v>288615547</v>
      </c>
      <c r="AT45" s="1">
        <f t="shared" si="35"/>
        <v>10</v>
      </c>
      <c r="AU45" s="1">
        <f>IF(COUNTIF(AT$40:AT45,AT45)&gt;1,1,0)</f>
        <v>0</v>
      </c>
      <c r="AV45" s="1">
        <f t="shared" si="36"/>
        <v>288615547</v>
      </c>
      <c r="AW45" s="1">
        <f t="shared" si="37"/>
        <v>10</v>
      </c>
      <c r="AX45" s="1">
        <f>IF(COUNTIF(AW$40:AW45,AW45)&gt;1,1,0)</f>
        <v>0</v>
      </c>
      <c r="AY45" s="1">
        <f t="shared" si="38"/>
        <v>288615547</v>
      </c>
      <c r="AZ45" s="1">
        <f t="shared" si="39"/>
        <v>10</v>
      </c>
      <c r="BA45" s="1">
        <f>IF(COUNTIF(AZ$40:AZ45,AZ45)&gt;1,1,0)</f>
        <v>0</v>
      </c>
      <c r="BB45" s="1">
        <f t="shared" si="40"/>
        <v>288615547</v>
      </c>
      <c r="BC45" s="1">
        <f t="shared" si="41"/>
        <v>10</v>
      </c>
      <c r="BD45" s="1">
        <f>IF(COUNTIF(BC$40:BC45,BC45)&gt;1,1,0)</f>
        <v>0</v>
      </c>
      <c r="BE45" s="1">
        <f t="shared" si="42"/>
        <v>288615547</v>
      </c>
      <c r="BF45" s="1">
        <f t="shared" si="43"/>
        <v>10</v>
      </c>
      <c r="BG45" s="1">
        <f>IF(COUNTIF(BF$40:BF45,BF45)&gt;1,1,0)</f>
        <v>0</v>
      </c>
      <c r="BH45" s="1">
        <f t="shared" si="44"/>
        <v>288615547</v>
      </c>
      <c r="BI45" s="1">
        <f t="shared" si="45"/>
        <v>10</v>
      </c>
      <c r="BJ45" s="1">
        <f>IF(COUNTIF(BI$40:BI45,BI45)&gt;1,1,0)</f>
        <v>0</v>
      </c>
      <c r="BK45" s="1">
        <f t="shared" si="46"/>
        <v>288615547</v>
      </c>
      <c r="BL45" s="1">
        <f t="shared" si="47"/>
        <v>10</v>
      </c>
      <c r="BM45" s="1">
        <f>IF(COUNTIF(BL$40:BL45,BL45)&gt;1,1,0)</f>
        <v>0</v>
      </c>
      <c r="BN45" s="1">
        <f t="shared" si="48"/>
        <v>288615547</v>
      </c>
      <c r="BO45" s="1">
        <f t="shared" si="49"/>
        <v>10</v>
      </c>
      <c r="BP45" s="1">
        <f>IF(COUNTIF(BO$40:BO45,BO45)&gt;1,1,0)</f>
        <v>0</v>
      </c>
      <c r="BQ45" s="1">
        <f t="shared" si="50"/>
        <v>288615547</v>
      </c>
      <c r="BR45" s="1">
        <f t="shared" si="51"/>
        <v>10</v>
      </c>
      <c r="BS45" s="1">
        <f>IF(COUNTIF(BR$40:BR45,BR45)&gt;1,1,0)</f>
        <v>0</v>
      </c>
      <c r="BT45" s="1">
        <f t="shared" si="52"/>
        <v>288615547</v>
      </c>
      <c r="BU45" s="1">
        <f t="shared" si="53"/>
        <v>10</v>
      </c>
    </row>
    <row r="46" spans="1:73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AD46" s="1">
        <f t="shared" si="28"/>
        <v>3</v>
      </c>
      <c r="AE46" s="1" t="str">
        <f t="shared" si="26"/>
        <v>ACC Hamburg</v>
      </c>
      <c r="AF46" s="1" t="str">
        <f>Saisondaten!$C$17</f>
        <v>B</v>
      </c>
      <c r="AG46" s="1">
        <f t="shared" si="27"/>
        <v>5</v>
      </c>
      <c r="AH46" s="1">
        <f t="shared" si="27"/>
        <v>0</v>
      </c>
      <c r="AI46" s="1">
        <f t="shared" si="27"/>
        <v>1</v>
      </c>
      <c r="AJ46" s="1">
        <f t="shared" si="27"/>
        <v>30</v>
      </c>
      <c r="AK46" s="1">
        <f t="shared" si="27"/>
        <v>15</v>
      </c>
      <c r="AL46" s="1">
        <f t="shared" si="29"/>
        <v>15</v>
      </c>
      <c r="AM46" s="1">
        <f t="shared" si="30"/>
        <v>1513566615</v>
      </c>
      <c r="AN46" s="1">
        <f t="shared" si="31"/>
        <v>3</v>
      </c>
      <c r="AO46" s="1">
        <f>IF(COUNTIF(AN$40:AN46,AN46)&gt;1,1,0)</f>
        <v>0</v>
      </c>
      <c r="AP46" s="1">
        <f t="shared" si="32"/>
        <v>1513566615</v>
      </c>
      <c r="AQ46" s="1">
        <f t="shared" si="33"/>
        <v>3</v>
      </c>
      <c r="AR46" s="1">
        <f>IF(COUNTIF(AQ$40:AQ46,AQ46)&gt;1,1,0)</f>
        <v>0</v>
      </c>
      <c r="AS46" s="1">
        <f t="shared" si="34"/>
        <v>1513566615</v>
      </c>
      <c r="AT46" s="1">
        <f t="shared" si="35"/>
        <v>3</v>
      </c>
      <c r="AU46" s="1">
        <f>IF(COUNTIF(AT$40:AT46,AT46)&gt;1,1,0)</f>
        <v>0</v>
      </c>
      <c r="AV46" s="1">
        <f t="shared" si="36"/>
        <v>1513566615</v>
      </c>
      <c r="AW46" s="1">
        <f t="shared" si="37"/>
        <v>3</v>
      </c>
      <c r="AX46" s="1">
        <f>IF(COUNTIF(AW$40:AW46,AW46)&gt;1,1,0)</f>
        <v>0</v>
      </c>
      <c r="AY46" s="1">
        <f t="shared" si="38"/>
        <v>1513566615</v>
      </c>
      <c r="AZ46" s="1">
        <f t="shared" si="39"/>
        <v>3</v>
      </c>
      <c r="BA46" s="1">
        <f>IF(COUNTIF(AZ$40:AZ46,AZ46)&gt;1,1,0)</f>
        <v>0</v>
      </c>
      <c r="BB46" s="1">
        <f t="shared" si="40"/>
        <v>1513566615</v>
      </c>
      <c r="BC46" s="1">
        <f t="shared" si="41"/>
        <v>3</v>
      </c>
      <c r="BD46" s="1">
        <f>IF(COUNTIF(BC$40:BC46,BC46)&gt;1,1,0)</f>
        <v>0</v>
      </c>
      <c r="BE46" s="1">
        <f t="shared" si="42"/>
        <v>1513566615</v>
      </c>
      <c r="BF46" s="1">
        <f t="shared" si="43"/>
        <v>3</v>
      </c>
      <c r="BG46" s="1">
        <f>IF(COUNTIF(BF$40:BF46,BF46)&gt;1,1,0)</f>
        <v>0</v>
      </c>
      <c r="BH46" s="1">
        <f t="shared" si="44"/>
        <v>1513566615</v>
      </c>
      <c r="BI46" s="1">
        <f t="shared" si="45"/>
        <v>3</v>
      </c>
      <c r="BJ46" s="1">
        <f>IF(COUNTIF(BI$40:BI46,BI46)&gt;1,1,0)</f>
        <v>0</v>
      </c>
      <c r="BK46" s="1">
        <f t="shared" si="46"/>
        <v>1513566615</v>
      </c>
      <c r="BL46" s="1">
        <f t="shared" si="47"/>
        <v>3</v>
      </c>
      <c r="BM46" s="1">
        <f>IF(COUNTIF(BL$40:BL46,BL46)&gt;1,1,0)</f>
        <v>0</v>
      </c>
      <c r="BN46" s="1">
        <f t="shared" si="48"/>
        <v>1513566615</v>
      </c>
      <c r="BO46" s="1">
        <f t="shared" si="49"/>
        <v>3</v>
      </c>
      <c r="BP46" s="1">
        <f>IF(COUNTIF(BO$40:BO46,BO46)&gt;1,1,0)</f>
        <v>0</v>
      </c>
      <c r="BQ46" s="1">
        <f t="shared" si="50"/>
        <v>1513566615</v>
      </c>
      <c r="BR46" s="1">
        <f t="shared" si="51"/>
        <v>3</v>
      </c>
      <c r="BS46" s="1">
        <f>IF(COUNTIF(BR$40:BR46,BR46)&gt;1,1,0)</f>
        <v>0</v>
      </c>
      <c r="BT46" s="1">
        <f t="shared" si="52"/>
        <v>1513566615</v>
      </c>
      <c r="BU46" s="1">
        <f t="shared" si="53"/>
        <v>3</v>
      </c>
    </row>
    <row r="47" spans="13:73" ht="16.5">
      <c r="M47" s="3"/>
      <c r="AD47" s="1">
        <f t="shared" si="28"/>
        <v>4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3</v>
      </c>
      <c r="AH47" s="1">
        <f t="shared" si="27"/>
        <v>1</v>
      </c>
      <c r="AI47" s="1">
        <f t="shared" si="27"/>
        <v>2</v>
      </c>
      <c r="AJ47" s="1">
        <f t="shared" si="27"/>
        <v>21</v>
      </c>
      <c r="AK47" s="1">
        <f t="shared" si="27"/>
        <v>15</v>
      </c>
      <c r="AL47" s="1">
        <f t="shared" si="29"/>
        <v>10</v>
      </c>
      <c r="AM47" s="1">
        <f t="shared" si="30"/>
        <v>1005496635</v>
      </c>
      <c r="AN47" s="1">
        <f t="shared" si="31"/>
        <v>4</v>
      </c>
      <c r="AO47" s="1">
        <f>IF(COUNTIF(AN$40:AN47,AN47)&gt;1,1,0)</f>
        <v>0</v>
      </c>
      <c r="AP47" s="1">
        <f t="shared" si="32"/>
        <v>1005496635</v>
      </c>
      <c r="AQ47" s="1">
        <f t="shared" si="33"/>
        <v>4</v>
      </c>
      <c r="AR47" s="1">
        <f>IF(COUNTIF(AQ$40:AQ47,AQ47)&gt;1,1,0)</f>
        <v>0</v>
      </c>
      <c r="AS47" s="1">
        <f t="shared" si="34"/>
        <v>1005496635</v>
      </c>
      <c r="AT47" s="1">
        <f t="shared" si="35"/>
        <v>4</v>
      </c>
      <c r="AU47" s="1">
        <f>IF(COUNTIF(AT$40:AT47,AT47)&gt;1,1,0)</f>
        <v>0</v>
      </c>
      <c r="AV47" s="1">
        <f t="shared" si="36"/>
        <v>1005496635</v>
      </c>
      <c r="AW47" s="1">
        <f t="shared" si="37"/>
        <v>4</v>
      </c>
      <c r="AX47" s="1">
        <f>IF(COUNTIF(AW$40:AW47,AW47)&gt;1,1,0)</f>
        <v>0</v>
      </c>
      <c r="AY47" s="1">
        <f t="shared" si="38"/>
        <v>1005496635</v>
      </c>
      <c r="AZ47" s="1">
        <f t="shared" si="39"/>
        <v>4</v>
      </c>
      <c r="BA47" s="1">
        <f>IF(COUNTIF(AZ$40:AZ47,AZ47)&gt;1,1,0)</f>
        <v>0</v>
      </c>
      <c r="BB47" s="1">
        <f t="shared" si="40"/>
        <v>1005496635</v>
      </c>
      <c r="BC47" s="1">
        <f t="shared" si="41"/>
        <v>4</v>
      </c>
      <c r="BD47" s="1">
        <f>IF(COUNTIF(BC$40:BC47,BC47)&gt;1,1,0)</f>
        <v>0</v>
      </c>
      <c r="BE47" s="1">
        <f t="shared" si="42"/>
        <v>1005496635</v>
      </c>
      <c r="BF47" s="1">
        <f t="shared" si="43"/>
        <v>4</v>
      </c>
      <c r="BG47" s="1">
        <f>IF(COUNTIF(BF$40:BF47,BF47)&gt;1,1,0)</f>
        <v>0</v>
      </c>
      <c r="BH47" s="1">
        <f t="shared" si="44"/>
        <v>1005496635</v>
      </c>
      <c r="BI47" s="1">
        <f t="shared" si="45"/>
        <v>4</v>
      </c>
      <c r="BJ47" s="1">
        <f>IF(COUNTIF(BI$40:BI47,BI47)&gt;1,1,0)</f>
        <v>0</v>
      </c>
      <c r="BK47" s="1">
        <f t="shared" si="46"/>
        <v>1005496635</v>
      </c>
      <c r="BL47" s="1">
        <f t="shared" si="47"/>
        <v>4</v>
      </c>
      <c r="BM47" s="1">
        <f>IF(COUNTIF(BL$40:BL47,BL47)&gt;1,1,0)</f>
        <v>0</v>
      </c>
      <c r="BN47" s="1">
        <f t="shared" si="48"/>
        <v>1005496635</v>
      </c>
      <c r="BO47" s="1">
        <f t="shared" si="49"/>
        <v>4</v>
      </c>
      <c r="BP47" s="1">
        <f>IF(COUNTIF(BO$40:BO47,BO47)&gt;1,1,0)</f>
        <v>0</v>
      </c>
      <c r="BQ47" s="1">
        <f t="shared" si="50"/>
        <v>1005496635</v>
      </c>
      <c r="BR47" s="1">
        <f t="shared" si="51"/>
        <v>4</v>
      </c>
      <c r="BS47" s="1">
        <f>IF(COUNTIF(BR$40:BR47,BR47)&gt;1,1,0)</f>
        <v>0</v>
      </c>
      <c r="BT47" s="1">
        <f t="shared" si="52"/>
        <v>1005496635</v>
      </c>
      <c r="BU47" s="1">
        <f t="shared" si="53"/>
        <v>4</v>
      </c>
    </row>
    <row r="48" spans="30:73" ht="16.5">
      <c r="AD48" s="1">
        <f t="shared" si="28"/>
        <v>5</v>
      </c>
      <c r="AE48" s="1" t="str">
        <f t="shared" si="26"/>
        <v>RSV Hannover</v>
      </c>
      <c r="AF48" s="1" t="str">
        <f>Saisondaten!$C$17</f>
        <v>B</v>
      </c>
      <c r="AG48" s="1">
        <f t="shared" si="27"/>
        <v>3</v>
      </c>
      <c r="AH48" s="1">
        <f t="shared" si="27"/>
        <v>1</v>
      </c>
      <c r="AI48" s="1">
        <f t="shared" si="27"/>
        <v>2</v>
      </c>
      <c r="AJ48" s="1">
        <f t="shared" si="27"/>
        <v>21</v>
      </c>
      <c r="AK48" s="1">
        <f t="shared" si="27"/>
        <v>20</v>
      </c>
      <c r="AL48" s="1">
        <f t="shared" si="29"/>
        <v>10</v>
      </c>
      <c r="AM48" s="1">
        <f t="shared" si="30"/>
        <v>1001052195</v>
      </c>
      <c r="AN48" s="1">
        <f t="shared" si="31"/>
        <v>5</v>
      </c>
      <c r="AO48" s="1">
        <f>IF(COUNTIF(AN$40:AN48,AN48)&gt;1,1,0)</f>
        <v>0</v>
      </c>
      <c r="AP48" s="1">
        <f t="shared" si="32"/>
        <v>1001052195</v>
      </c>
      <c r="AQ48" s="1">
        <f t="shared" si="33"/>
        <v>5</v>
      </c>
      <c r="AR48" s="1">
        <f>IF(COUNTIF(AQ$40:AQ48,AQ48)&gt;1,1,0)</f>
        <v>0</v>
      </c>
      <c r="AS48" s="1">
        <f t="shared" si="34"/>
        <v>1001052195</v>
      </c>
      <c r="AT48" s="1">
        <f t="shared" si="35"/>
        <v>5</v>
      </c>
      <c r="AU48" s="1">
        <f>IF(COUNTIF(AT$40:AT48,AT48)&gt;1,1,0)</f>
        <v>0</v>
      </c>
      <c r="AV48" s="1">
        <f t="shared" si="36"/>
        <v>1001052195</v>
      </c>
      <c r="AW48" s="1">
        <f t="shared" si="37"/>
        <v>5</v>
      </c>
      <c r="AX48" s="1">
        <f>IF(COUNTIF(AW$40:AW48,AW48)&gt;1,1,0)</f>
        <v>0</v>
      </c>
      <c r="AY48" s="1">
        <f t="shared" si="38"/>
        <v>1001052195</v>
      </c>
      <c r="AZ48" s="1">
        <f t="shared" si="39"/>
        <v>5</v>
      </c>
      <c r="BA48" s="1">
        <f>IF(COUNTIF(AZ$40:AZ48,AZ48)&gt;1,1,0)</f>
        <v>0</v>
      </c>
      <c r="BB48" s="1">
        <f t="shared" si="40"/>
        <v>1001052195</v>
      </c>
      <c r="BC48" s="1">
        <f t="shared" si="41"/>
        <v>5</v>
      </c>
      <c r="BD48" s="1">
        <f>IF(COUNTIF(BC$40:BC48,BC48)&gt;1,1,0)</f>
        <v>0</v>
      </c>
      <c r="BE48" s="1">
        <f t="shared" si="42"/>
        <v>1001052195</v>
      </c>
      <c r="BF48" s="1">
        <f t="shared" si="43"/>
        <v>5</v>
      </c>
      <c r="BG48" s="1">
        <f>IF(COUNTIF(BF$40:BF48,BF48)&gt;1,1,0)</f>
        <v>0</v>
      </c>
      <c r="BH48" s="1">
        <f t="shared" si="44"/>
        <v>1001052195</v>
      </c>
      <c r="BI48" s="1">
        <f t="shared" si="45"/>
        <v>5</v>
      </c>
      <c r="BJ48" s="1">
        <f>IF(COUNTIF(BI$40:BI48,BI48)&gt;1,1,0)</f>
        <v>0</v>
      </c>
      <c r="BK48" s="1">
        <f t="shared" si="46"/>
        <v>1001052195</v>
      </c>
      <c r="BL48" s="1">
        <f t="shared" si="47"/>
        <v>5</v>
      </c>
      <c r="BM48" s="1">
        <f>IF(COUNTIF(BL$40:BL48,BL48)&gt;1,1,0)</f>
        <v>0</v>
      </c>
      <c r="BN48" s="1">
        <f t="shared" si="48"/>
        <v>1001052195</v>
      </c>
      <c r="BO48" s="1">
        <f t="shared" si="49"/>
        <v>5</v>
      </c>
      <c r="BP48" s="1">
        <f>IF(COUNTIF(BO$40:BO48,BO48)&gt;1,1,0)</f>
        <v>0</v>
      </c>
      <c r="BQ48" s="1">
        <f t="shared" si="50"/>
        <v>1001052195</v>
      </c>
      <c r="BR48" s="1">
        <f t="shared" si="51"/>
        <v>5</v>
      </c>
      <c r="BS48" s="1">
        <f>IF(COUNTIF(BR$40:BR48,BR48)&gt;1,1,0)</f>
        <v>0</v>
      </c>
      <c r="BT48" s="1">
        <f t="shared" si="52"/>
        <v>1001052195</v>
      </c>
      <c r="BU48" s="1">
        <f t="shared" si="53"/>
        <v>5</v>
      </c>
    </row>
    <row r="49" spans="30:73" ht="16.5">
      <c r="AD49" s="1">
        <f t="shared" si="28"/>
        <v>9</v>
      </c>
      <c r="AE49" s="1" t="str">
        <f t="shared" si="26"/>
        <v>VK Berlin</v>
      </c>
      <c r="AF49" s="1" t="str">
        <f>Saisondaten!$C$17</f>
        <v>B</v>
      </c>
      <c r="AG49" s="1">
        <f t="shared" si="27"/>
        <v>2</v>
      </c>
      <c r="AH49" s="1">
        <f t="shared" si="27"/>
        <v>1</v>
      </c>
      <c r="AI49" s="1">
        <f t="shared" si="27"/>
        <v>3</v>
      </c>
      <c r="AJ49" s="1">
        <f t="shared" si="27"/>
        <v>21</v>
      </c>
      <c r="AK49" s="1">
        <f t="shared" si="27"/>
        <v>29</v>
      </c>
      <c r="AL49" s="1">
        <f t="shared" si="29"/>
        <v>7</v>
      </c>
      <c r="AM49" s="1">
        <f t="shared" si="30"/>
        <v>693052206</v>
      </c>
      <c r="AN49" s="1">
        <f t="shared" si="31"/>
        <v>9</v>
      </c>
      <c r="AO49" s="1">
        <f>IF(COUNTIF(AN$40:AN49,AN49)&gt;1,1,0)</f>
        <v>0</v>
      </c>
      <c r="AP49" s="1">
        <f t="shared" si="32"/>
        <v>693052206</v>
      </c>
      <c r="AQ49" s="1">
        <f t="shared" si="33"/>
        <v>9</v>
      </c>
      <c r="AR49" s="1">
        <f>IF(COUNTIF(AQ$40:AQ49,AQ49)&gt;1,1,0)</f>
        <v>0</v>
      </c>
      <c r="AS49" s="1">
        <f t="shared" si="34"/>
        <v>693052206</v>
      </c>
      <c r="AT49" s="1">
        <f t="shared" si="35"/>
        <v>9</v>
      </c>
      <c r="AU49" s="1">
        <f>IF(COUNTIF(AT$40:AT49,AT49)&gt;1,1,0)</f>
        <v>0</v>
      </c>
      <c r="AV49" s="1">
        <f t="shared" si="36"/>
        <v>693052206</v>
      </c>
      <c r="AW49" s="1">
        <f t="shared" si="37"/>
        <v>9</v>
      </c>
      <c r="AX49" s="1">
        <f>IF(COUNTIF(AW$40:AW49,AW49)&gt;1,1,0)</f>
        <v>0</v>
      </c>
      <c r="AY49" s="1">
        <f t="shared" si="38"/>
        <v>693052206</v>
      </c>
      <c r="AZ49" s="1">
        <f t="shared" si="39"/>
        <v>9</v>
      </c>
      <c r="BA49" s="1">
        <f>IF(COUNTIF(AZ$40:AZ49,AZ49)&gt;1,1,0)</f>
        <v>0</v>
      </c>
      <c r="BB49" s="1">
        <f t="shared" si="40"/>
        <v>693052206</v>
      </c>
      <c r="BC49" s="1">
        <f t="shared" si="41"/>
        <v>9</v>
      </c>
      <c r="BD49" s="1">
        <f>IF(COUNTIF(BC$40:BC49,BC49)&gt;1,1,0)</f>
        <v>0</v>
      </c>
      <c r="BE49" s="1">
        <f t="shared" si="42"/>
        <v>693052206</v>
      </c>
      <c r="BF49" s="1">
        <f t="shared" si="43"/>
        <v>9</v>
      </c>
      <c r="BG49" s="1">
        <f>IF(COUNTIF(BF$40:BF49,BF49)&gt;1,1,0)</f>
        <v>0</v>
      </c>
      <c r="BH49" s="1">
        <f t="shared" si="44"/>
        <v>693052206</v>
      </c>
      <c r="BI49" s="1">
        <f t="shared" si="45"/>
        <v>9</v>
      </c>
      <c r="BJ49" s="1">
        <f>IF(COUNTIF(BI$40:BI49,BI49)&gt;1,1,0)</f>
        <v>0</v>
      </c>
      <c r="BK49" s="1">
        <f t="shared" si="46"/>
        <v>693052206</v>
      </c>
      <c r="BL49" s="1">
        <f t="shared" si="47"/>
        <v>9</v>
      </c>
      <c r="BM49" s="1">
        <f>IF(COUNTIF(BL$40:BL49,BL49)&gt;1,1,0)</f>
        <v>0</v>
      </c>
      <c r="BN49" s="1">
        <f t="shared" si="48"/>
        <v>693052206</v>
      </c>
      <c r="BO49" s="1">
        <f t="shared" si="49"/>
        <v>9</v>
      </c>
      <c r="BP49" s="1">
        <f>IF(COUNTIF(BO$40:BO49,BO49)&gt;1,1,0)</f>
        <v>0</v>
      </c>
      <c r="BQ49" s="1">
        <f t="shared" si="50"/>
        <v>693052206</v>
      </c>
      <c r="BR49" s="1">
        <f t="shared" si="51"/>
        <v>9</v>
      </c>
      <c r="BS49" s="1">
        <f>IF(COUNTIF(BR$40:BR49,BR49)&gt;1,1,0)</f>
        <v>0</v>
      </c>
      <c r="BT49" s="1">
        <f t="shared" si="52"/>
        <v>693052206</v>
      </c>
      <c r="BU49" s="1">
        <f t="shared" si="53"/>
        <v>9</v>
      </c>
    </row>
    <row r="50" spans="30:73" ht="16.5">
      <c r="AD50" s="1">
        <f t="shared" si="28"/>
        <v>12</v>
      </c>
      <c r="AE50" s="1" t="str">
        <f t="shared" si="26"/>
        <v>KSV Glauchau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6</v>
      </c>
      <c r="AJ50" s="1">
        <f t="shared" si="27"/>
        <v>12</v>
      </c>
      <c r="AK50" s="1">
        <f t="shared" si="27"/>
        <v>33</v>
      </c>
      <c r="AL50" s="1">
        <f t="shared" si="29"/>
        <v>0</v>
      </c>
      <c r="AM50" s="1">
        <f t="shared" si="30"/>
        <v>-18573324</v>
      </c>
      <c r="AN50" s="1">
        <f t="shared" si="31"/>
        <v>12</v>
      </c>
      <c r="AO50" s="1">
        <f>IF(COUNTIF(AN$40:AN50,AN50)&gt;1,1,0)</f>
        <v>0</v>
      </c>
      <c r="AP50" s="1">
        <f t="shared" si="32"/>
        <v>-18573324</v>
      </c>
      <c r="AQ50" s="1">
        <f t="shared" si="33"/>
        <v>12</v>
      </c>
      <c r="AR50" s="1">
        <f>IF(COUNTIF(AQ$40:AQ50,AQ50)&gt;1,1,0)</f>
        <v>0</v>
      </c>
      <c r="AS50" s="1">
        <f t="shared" si="34"/>
        <v>-18573324</v>
      </c>
      <c r="AT50" s="1">
        <f t="shared" si="35"/>
        <v>12</v>
      </c>
      <c r="AU50" s="1">
        <f>IF(COUNTIF(AT$40:AT50,AT50)&gt;1,1,0)</f>
        <v>0</v>
      </c>
      <c r="AV50" s="1">
        <f t="shared" si="36"/>
        <v>-18573324</v>
      </c>
      <c r="AW50" s="1">
        <f t="shared" si="37"/>
        <v>12</v>
      </c>
      <c r="AX50" s="1">
        <f>IF(COUNTIF(AW$40:AW50,AW50)&gt;1,1,0)</f>
        <v>0</v>
      </c>
      <c r="AY50" s="1">
        <f t="shared" si="38"/>
        <v>-18573324</v>
      </c>
      <c r="AZ50" s="1">
        <f t="shared" si="39"/>
        <v>12</v>
      </c>
      <c r="BA50" s="1">
        <f>IF(COUNTIF(AZ$40:AZ50,AZ50)&gt;1,1,0)</f>
        <v>0</v>
      </c>
      <c r="BB50" s="1">
        <f t="shared" si="40"/>
        <v>-18573324</v>
      </c>
      <c r="BC50" s="1">
        <f t="shared" si="41"/>
        <v>12</v>
      </c>
      <c r="BD50" s="1">
        <f>IF(COUNTIF(BC$40:BC50,BC50)&gt;1,1,0)</f>
        <v>0</v>
      </c>
      <c r="BE50" s="1">
        <f t="shared" si="42"/>
        <v>-18573324</v>
      </c>
      <c r="BF50" s="1">
        <f t="shared" si="43"/>
        <v>12</v>
      </c>
      <c r="BG50" s="1">
        <f>IF(COUNTIF(BF$40:BF50,BF50)&gt;1,1,0)</f>
        <v>0</v>
      </c>
      <c r="BH50" s="1">
        <f t="shared" si="44"/>
        <v>-18573324</v>
      </c>
      <c r="BI50" s="1">
        <f t="shared" si="45"/>
        <v>12</v>
      </c>
      <c r="BJ50" s="1">
        <f>IF(COUNTIF(BI$40:BI50,BI50)&gt;1,1,0)</f>
        <v>0</v>
      </c>
      <c r="BK50" s="1">
        <f t="shared" si="46"/>
        <v>-18573324</v>
      </c>
      <c r="BL50" s="1">
        <f t="shared" si="47"/>
        <v>12</v>
      </c>
      <c r="BM50" s="1">
        <f>IF(COUNTIF(BL$40:BL50,BL50)&gt;1,1,0)</f>
        <v>0</v>
      </c>
      <c r="BN50" s="1">
        <f t="shared" si="48"/>
        <v>-18573324</v>
      </c>
      <c r="BO50" s="1">
        <f t="shared" si="49"/>
        <v>12</v>
      </c>
      <c r="BP50" s="1">
        <f>IF(COUNTIF(BO$40:BO50,BO50)&gt;1,1,0)</f>
        <v>0</v>
      </c>
      <c r="BQ50" s="1">
        <f t="shared" si="50"/>
        <v>-18573324</v>
      </c>
      <c r="BR50" s="1">
        <f t="shared" si="51"/>
        <v>12</v>
      </c>
      <c r="BS50" s="1">
        <f>IF(COUNTIF(BR$40:BR50,BR50)&gt;1,1,0)</f>
        <v>0</v>
      </c>
      <c r="BT50" s="1">
        <f t="shared" si="52"/>
        <v>-18573324</v>
      </c>
      <c r="BU50" s="1">
        <f t="shared" si="53"/>
        <v>12</v>
      </c>
    </row>
    <row r="51" spans="30:73" ht="16.5">
      <c r="AD51" s="1">
        <f t="shared" si="28"/>
        <v>8</v>
      </c>
      <c r="AE51" s="1" t="str">
        <f t="shared" si="26"/>
        <v>KSVH Berlin</v>
      </c>
      <c r="AF51" s="1" t="str">
        <f>Saisondaten!$C$17</f>
        <v>B</v>
      </c>
      <c r="AG51" s="1">
        <f t="shared" si="27"/>
        <v>2</v>
      </c>
      <c r="AH51" s="1">
        <f t="shared" si="27"/>
        <v>1</v>
      </c>
      <c r="AI51" s="1">
        <f t="shared" si="27"/>
        <v>3</v>
      </c>
      <c r="AJ51" s="1">
        <f t="shared" si="27"/>
        <v>19</v>
      </c>
      <c r="AK51" s="1">
        <f t="shared" si="27"/>
        <v>18</v>
      </c>
      <c r="AL51" s="1">
        <f t="shared" si="29"/>
        <v>7</v>
      </c>
      <c r="AM51" s="1">
        <f t="shared" si="30"/>
        <v>701036644</v>
      </c>
      <c r="AN51" s="1">
        <f t="shared" si="31"/>
        <v>8</v>
      </c>
      <c r="AO51" s="1">
        <f>IF(COUNTIF(AN$40:AN51,AN51)&gt;1,1,0)</f>
        <v>0</v>
      </c>
      <c r="AP51" s="1">
        <f t="shared" si="32"/>
        <v>701036644</v>
      </c>
      <c r="AQ51" s="1">
        <f t="shared" si="33"/>
        <v>8</v>
      </c>
      <c r="AR51" s="1">
        <f>IF(COUNTIF(AQ$40:AQ51,AQ51)&gt;1,1,0)</f>
        <v>0</v>
      </c>
      <c r="AS51" s="1">
        <f t="shared" si="34"/>
        <v>701036644</v>
      </c>
      <c r="AT51" s="1">
        <f t="shared" si="35"/>
        <v>8</v>
      </c>
      <c r="AU51" s="1">
        <f>IF(COUNTIF(AT$40:AT51,AT51)&gt;1,1,0)</f>
        <v>0</v>
      </c>
      <c r="AV51" s="1">
        <f t="shared" si="36"/>
        <v>701036644</v>
      </c>
      <c r="AW51" s="1">
        <f t="shared" si="37"/>
        <v>8</v>
      </c>
      <c r="AX51" s="1">
        <f>IF(COUNTIF(AW$40:AW51,AW51)&gt;1,1,0)</f>
        <v>0</v>
      </c>
      <c r="AY51" s="1">
        <f t="shared" si="38"/>
        <v>701036644</v>
      </c>
      <c r="AZ51" s="1">
        <f t="shared" si="39"/>
        <v>8</v>
      </c>
      <c r="BA51" s="1">
        <f>IF(COUNTIF(AZ$40:AZ51,AZ51)&gt;1,1,0)</f>
        <v>0</v>
      </c>
      <c r="BB51" s="1">
        <f t="shared" si="40"/>
        <v>701036644</v>
      </c>
      <c r="BC51" s="1">
        <f t="shared" si="41"/>
        <v>8</v>
      </c>
      <c r="BD51" s="1">
        <f>IF(COUNTIF(BC$40:BC51,BC51)&gt;1,1,0)</f>
        <v>0</v>
      </c>
      <c r="BE51" s="1">
        <f t="shared" si="42"/>
        <v>701036644</v>
      </c>
      <c r="BF51" s="1">
        <f t="shared" si="43"/>
        <v>8</v>
      </c>
      <c r="BG51" s="1">
        <f>IF(COUNTIF(BF$40:BF51,BF51)&gt;1,1,0)</f>
        <v>0</v>
      </c>
      <c r="BH51" s="1">
        <f t="shared" si="44"/>
        <v>701036644</v>
      </c>
      <c r="BI51" s="1">
        <f t="shared" si="45"/>
        <v>8</v>
      </c>
      <c r="BJ51" s="1">
        <f>IF(COUNTIF(BI$40:BI51,BI51)&gt;1,1,0)</f>
        <v>0</v>
      </c>
      <c r="BK51" s="1">
        <f t="shared" si="46"/>
        <v>701036644</v>
      </c>
      <c r="BL51" s="1">
        <f t="shared" si="47"/>
        <v>8</v>
      </c>
      <c r="BM51" s="1">
        <f>IF(COUNTIF(BL$40:BL51,BL51)&gt;1,1,0)</f>
        <v>0</v>
      </c>
      <c r="BN51" s="1">
        <f t="shared" si="48"/>
        <v>701036644</v>
      </c>
      <c r="BO51" s="1">
        <f t="shared" si="49"/>
        <v>8</v>
      </c>
      <c r="BP51" s="1">
        <f>IF(COUNTIF(BO$40:BO51,BO51)&gt;1,1,0)</f>
        <v>0</v>
      </c>
      <c r="BQ51" s="1">
        <f t="shared" si="50"/>
        <v>701036644</v>
      </c>
      <c r="BR51" s="1">
        <f t="shared" si="51"/>
        <v>8</v>
      </c>
      <c r="BS51" s="1">
        <f>IF(COUNTIF(BR$40:BR51,BR51)&gt;1,1,0)</f>
        <v>0</v>
      </c>
      <c r="BT51" s="1">
        <f t="shared" si="52"/>
        <v>701036644</v>
      </c>
      <c r="BU51" s="1">
        <f t="shared" si="53"/>
        <v>8</v>
      </c>
    </row>
  </sheetData>
  <sheetProtection sheet="1" selectLockedCells="1"/>
  <mergeCells count="8">
    <mergeCell ref="AM39:AP39"/>
    <mergeCell ref="A32:N32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0">
      <selection activeCell="I7" sqref="I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6.42187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16384" width="11.421875" style="1" customWidth="1"/>
  </cols>
  <sheetData>
    <row r="1" spans="1:14" ht="38.25" customHeight="1">
      <c r="A1" s="351" t="str">
        <f>"Kanupolo Bundesliga "&amp;Saisondaten!$B$3&amp;""</f>
        <v>Kanupolo Bundesliga 2018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52" t="str">
        <f>"3. Spieltag, Gruppe A"&amp;" in "&amp;Saisondaten!$D$10</f>
        <v>3. Spieltag, Gruppe A in Göttingen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7" t="str">
        <f>TEXT(Saisondaten!$B$10,"[$-F800]TTTT, MMMM TT, JJJJ")</f>
        <v>Samstag, 30. Juni 2018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36" ht="16.5">
      <c r="A6" s="10" t="s">
        <v>38</v>
      </c>
      <c r="B6" s="10"/>
      <c r="C6" s="10" t="s">
        <v>39</v>
      </c>
      <c r="D6" s="10" t="s">
        <v>40</v>
      </c>
      <c r="E6" s="10" t="s">
        <v>8</v>
      </c>
      <c r="F6" s="348" t="s">
        <v>7</v>
      </c>
      <c r="G6" s="348"/>
      <c r="H6" s="348"/>
      <c r="I6" s="348" t="s">
        <v>41</v>
      </c>
      <c r="J6" s="348"/>
      <c r="K6" s="348"/>
      <c r="L6" s="348" t="s">
        <v>26</v>
      </c>
      <c r="M6" s="348"/>
      <c r="N6" s="348"/>
      <c r="P6" s="1" t="s">
        <v>68</v>
      </c>
      <c r="Q6" s="1" t="s">
        <v>66</v>
      </c>
      <c r="R6" s="1" t="s">
        <v>54</v>
      </c>
      <c r="S6" s="1" t="s">
        <v>47</v>
      </c>
      <c r="T6" s="1" t="s">
        <v>53</v>
      </c>
      <c r="U6" s="1" t="s">
        <v>50</v>
      </c>
      <c r="V6" s="1" t="s">
        <v>23</v>
      </c>
      <c r="W6" s="1" t="s">
        <v>67</v>
      </c>
      <c r="X6" s="1" t="s">
        <v>54</v>
      </c>
      <c r="Y6" s="1" t="s">
        <v>47</v>
      </c>
      <c r="Z6" s="1" t="s">
        <v>53</v>
      </c>
      <c r="AA6" s="1" t="s">
        <v>50</v>
      </c>
      <c r="AB6" s="1" t="s">
        <v>23</v>
      </c>
      <c r="AE6" s="63" t="s">
        <v>45</v>
      </c>
      <c r="AF6" s="1" t="s">
        <v>54</v>
      </c>
      <c r="AG6" s="1" t="s">
        <v>47</v>
      </c>
      <c r="AH6" s="1" t="s">
        <v>53</v>
      </c>
      <c r="AI6" s="1" t="s">
        <v>50</v>
      </c>
      <c r="AJ6" s="1" t="s">
        <v>23</v>
      </c>
    </row>
    <row r="7" spans="1:36" ht="16.5">
      <c r="A7" s="11">
        <f>'2.Spieltag'!A44+1</f>
        <v>67</v>
      </c>
      <c r="B7" s="11" t="s">
        <v>27</v>
      </c>
      <c r="C7" s="11">
        <v>1</v>
      </c>
      <c r="D7" s="12">
        <v>0.4166666666666667</v>
      </c>
      <c r="E7" s="11" t="s">
        <v>9</v>
      </c>
      <c r="F7" s="11" t="str">
        <f>Saisondaten!$B$28</f>
        <v>KRM Essen</v>
      </c>
      <c r="G7" s="11" t="s">
        <v>43</v>
      </c>
      <c r="H7" s="11" t="str">
        <f>Saisondaten!$B$32</f>
        <v>KC Wetter</v>
      </c>
      <c r="I7" s="19">
        <v>7</v>
      </c>
      <c r="J7" s="11" t="s">
        <v>43</v>
      </c>
      <c r="K7" s="19">
        <v>0</v>
      </c>
      <c r="L7" s="178" t="str">
        <f>IF(VLOOKUP(A7,Schiedsrichter!$A$3:$I$176,8,FALSE)=0,"-",VLOOKUP(A7,Schiedsrichter!$A$3:$I$176,8,FALSE))</f>
        <v>WSF Liblar</v>
      </c>
      <c r="M7" s="172" t="s">
        <v>249</v>
      </c>
      <c r="N7" s="184" t="str">
        <f>IF(VLOOKUP(A7,Schiedsrichter!$A$3:$I$176,9,FALSE)=0,"-",VLOOKUP(A7,Schiedsrichter!$A$3:$I$176,9,FALSE))</f>
        <v>KGW Essen</v>
      </c>
      <c r="P7" s="1">
        <f>IF(OR(I7="",K7=""),"na",1)</f>
        <v>1</v>
      </c>
      <c r="Q7" s="1" t="str">
        <f>F7</f>
        <v>KRM Essen</v>
      </c>
      <c r="R7" s="1">
        <f>IF($P7=1,IF($I7&gt;$K7,1,0),"")</f>
        <v>1</v>
      </c>
      <c r="S7" s="1">
        <f>IF($P7=1,IF($I7=$K7,1,0),"")</f>
        <v>0</v>
      </c>
      <c r="T7" s="1">
        <f>IF($P7=1,IF($I7&lt;$K7,1,0),"")</f>
        <v>0</v>
      </c>
      <c r="U7" s="1">
        <f>IF($P7=1,$I7,"")</f>
        <v>7</v>
      </c>
      <c r="V7" s="1">
        <f>IF($P7=1,$K7,"")</f>
        <v>0</v>
      </c>
      <c r="W7" s="1" t="str">
        <f>H7</f>
        <v>KC Wetter</v>
      </c>
      <c r="X7" s="1">
        <f>IF($P7=1,IF($I7&lt;$K7,1,0),"")</f>
        <v>0</v>
      </c>
      <c r="Y7" s="1">
        <f>IF($P7=1,IF($I7=$K7,1,0),"")</f>
        <v>0</v>
      </c>
      <c r="Z7" s="1">
        <f>IF($P7=1,IF($I7&gt;$K7,1,0),"")</f>
        <v>1</v>
      </c>
      <c r="AA7" s="1">
        <f>IF($P7=1,$K7,"")</f>
        <v>0</v>
      </c>
      <c r="AB7" s="1">
        <f>IF($P7=1,$I7,"")</f>
        <v>7</v>
      </c>
      <c r="AE7" s="1" t="str">
        <f>Saisondaten!B18</f>
        <v>KRM Essen</v>
      </c>
      <c r="AF7" s="1">
        <f aca="true" t="shared" si="0" ref="AF7:AF18">SUMIF($Q$7:$Q$45,$AE7,R$7:R$45)</f>
        <v>4</v>
      </c>
      <c r="AG7" s="1">
        <f aca="true" t="shared" si="1" ref="AG7:AG18">SUMIF($Q$7:$Q$45,$AE7,S$7:S$45)</f>
        <v>1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23</v>
      </c>
      <c r="AJ7" s="1">
        <f aca="true" t="shared" si="4" ref="AJ7:AJ18">SUMIF($Q$7:$Q$45,$AE7,V$7:V$45)</f>
        <v>7</v>
      </c>
    </row>
    <row r="8" spans="1:36" ht="16.5">
      <c r="A8" s="13">
        <f aca="true" t="shared" si="5" ref="A8:A15">A7+1</f>
        <v>68</v>
      </c>
      <c r="B8" s="13" t="s">
        <v>27</v>
      </c>
      <c r="C8" s="13">
        <v>1</v>
      </c>
      <c r="D8" s="14">
        <v>0.4479166666666667</v>
      </c>
      <c r="E8" s="13" t="s">
        <v>9</v>
      </c>
      <c r="F8" s="13" t="str">
        <f>Saisondaten!$B$30</f>
        <v>1. MKC Duisburg</v>
      </c>
      <c r="G8" s="13" t="s">
        <v>43</v>
      </c>
      <c r="H8" s="13" t="str">
        <f>Saisondaten!$B$33</f>
        <v>Göttinger PC</v>
      </c>
      <c r="I8" s="20">
        <v>5</v>
      </c>
      <c r="J8" s="13" t="s">
        <v>43</v>
      </c>
      <c r="K8" s="20">
        <v>0</v>
      </c>
      <c r="L8" s="179" t="str">
        <f>IF(VLOOKUP(A8,Schiedsrichter!$A$3:$I$176,8,FALSE)=0,"-",VLOOKUP(A8,Schiedsrichter!$A$3:$I$176,8,FALSE))</f>
        <v>KC Wetter</v>
      </c>
      <c r="M8" s="173" t="s">
        <v>249</v>
      </c>
      <c r="N8" s="185" t="str">
        <f>IF(VLOOKUP(A8,Schiedsrichter!$A$3:$I$176,9,FALSE)=0,"-",VLOOKUP(A8,Schiedsrichter!$A$3:$I$176,9,FALSE))</f>
        <v>KRM Essen</v>
      </c>
      <c r="P8" s="1">
        <f aca="true" t="shared" si="6" ref="P8:P45">IF(OR(I8="",K8=""),"na",1)</f>
        <v>1</v>
      </c>
      <c r="Q8" s="1" t="str">
        <f>F8</f>
        <v>1. MKC Duisburg</v>
      </c>
      <c r="R8" s="1">
        <f aca="true" t="shared" si="7" ref="R8:R45">IF($P8=1,IF($I8&gt;$K8,1,0),"")</f>
        <v>1</v>
      </c>
      <c r="S8" s="1">
        <f aca="true" t="shared" si="8" ref="S8:S45">IF($P8=1,IF($I8=$K8,1,0),"")</f>
        <v>0</v>
      </c>
      <c r="T8" s="1">
        <f aca="true" t="shared" si="9" ref="T8:T45">IF($P8=1,IF($I8&lt;$K8,1,0),"")</f>
        <v>0</v>
      </c>
      <c r="U8" s="1">
        <f aca="true" t="shared" si="10" ref="U8:U45">IF($P8=1,$I8,"")</f>
        <v>5</v>
      </c>
      <c r="V8" s="1">
        <f aca="true" t="shared" si="11" ref="V8:V45">IF($P8=1,$K8,"")</f>
        <v>0</v>
      </c>
      <c r="W8" s="1" t="str">
        <f aca="true" t="shared" si="12" ref="W8:W45">H8</f>
        <v>Göttinger PC</v>
      </c>
      <c r="X8" s="1">
        <f aca="true" t="shared" si="13" ref="X8:X45">IF($P8=1,IF($I8&lt;$K8,1,0),"")</f>
        <v>0</v>
      </c>
      <c r="Y8" s="1">
        <f aca="true" t="shared" si="14" ref="Y8:Y45">IF($P8=1,IF($I8=$K8,1,0),"")</f>
        <v>0</v>
      </c>
      <c r="Z8" s="1">
        <f aca="true" t="shared" si="15" ref="Z8:Z45">IF($P8=1,IF($I8&gt;$K8,1,0),"")</f>
        <v>1</v>
      </c>
      <c r="AA8" s="1">
        <f aca="true" t="shared" si="16" ref="AA8:AA45">IF($P8=1,$K8,"")</f>
        <v>0</v>
      </c>
      <c r="AB8" s="1">
        <f aca="true" t="shared" si="17" ref="AB8:AB45">IF($P8=1,$I8,"")</f>
        <v>5</v>
      </c>
      <c r="AE8" s="1" t="str">
        <f>Saisondaten!B19</f>
        <v>WSF Liblar</v>
      </c>
      <c r="AF8" s="1">
        <f t="shared" si="0"/>
        <v>4</v>
      </c>
      <c r="AG8" s="1">
        <f t="shared" si="1"/>
        <v>0</v>
      </c>
      <c r="AH8" s="1">
        <f t="shared" si="2"/>
        <v>0</v>
      </c>
      <c r="AI8" s="1">
        <f t="shared" si="3"/>
        <v>18</v>
      </c>
      <c r="AJ8" s="1">
        <f t="shared" si="4"/>
        <v>7</v>
      </c>
    </row>
    <row r="9" spans="1:36" ht="16.5">
      <c r="A9" s="3">
        <f t="shared" si="5"/>
        <v>69</v>
      </c>
      <c r="B9" s="3" t="s">
        <v>27</v>
      </c>
      <c r="C9" s="3">
        <v>1</v>
      </c>
      <c r="D9" s="4">
        <v>0.4791666666666667</v>
      </c>
      <c r="E9" s="3" t="s">
        <v>9</v>
      </c>
      <c r="F9" s="3" t="str">
        <f>Saisondaten!$B$29</f>
        <v>WSF Liblar</v>
      </c>
      <c r="G9" s="3" t="s">
        <v>43</v>
      </c>
      <c r="H9" s="3" t="str">
        <f>Saisondaten!$B$31</f>
        <v>KGW Essen</v>
      </c>
      <c r="I9" s="21">
        <v>4</v>
      </c>
      <c r="J9" s="3" t="s">
        <v>43</v>
      </c>
      <c r="K9" s="21">
        <v>3</v>
      </c>
      <c r="L9" s="180" t="str">
        <f>IF(VLOOKUP(A9,Schiedsrichter!$A$3:$I$176,8,FALSE)=0,"-",VLOOKUP(A9,Schiedsrichter!$A$3:$I$176,8,FALSE))</f>
        <v>1. MKC Duisburg</v>
      </c>
      <c r="M9" s="174" t="s">
        <v>249</v>
      </c>
      <c r="N9" s="186" t="str">
        <f>IF(VLOOKUP(A9,Schiedsrichter!$A$3:$I$176,9,FALSE)=0,"-",VLOOKUP(A9,Schiedsrichter!$A$3:$I$176,9,FALSE))</f>
        <v>Göttinger PC</v>
      </c>
      <c r="P9" s="1">
        <f t="shared" si="6"/>
        <v>1</v>
      </c>
      <c r="Q9" s="1" t="str">
        <f aca="true" t="shared" si="18" ref="Q9:Q45">F9</f>
        <v>WSF Liblar</v>
      </c>
      <c r="R9" s="1">
        <f t="shared" si="7"/>
        <v>1</v>
      </c>
      <c r="S9" s="1">
        <f t="shared" si="8"/>
        <v>0</v>
      </c>
      <c r="T9" s="1">
        <f t="shared" si="9"/>
        <v>0</v>
      </c>
      <c r="U9" s="1">
        <f t="shared" si="10"/>
        <v>4</v>
      </c>
      <c r="V9" s="1">
        <f t="shared" si="11"/>
        <v>3</v>
      </c>
      <c r="W9" s="1" t="str">
        <f t="shared" si="12"/>
        <v>KGW Essen</v>
      </c>
      <c r="X9" s="1">
        <f t="shared" si="13"/>
        <v>0</v>
      </c>
      <c r="Y9" s="1">
        <f t="shared" si="14"/>
        <v>0</v>
      </c>
      <c r="Z9" s="1">
        <f t="shared" si="15"/>
        <v>1</v>
      </c>
      <c r="AA9" s="1">
        <f t="shared" si="16"/>
        <v>3</v>
      </c>
      <c r="AB9" s="1">
        <f t="shared" si="17"/>
        <v>4</v>
      </c>
      <c r="AE9" s="1" t="str">
        <f>Saisondaten!B20</f>
        <v>1. MKC Duisburg</v>
      </c>
      <c r="AF9" s="1">
        <f t="shared" si="0"/>
        <v>2</v>
      </c>
      <c r="AG9" s="1">
        <f t="shared" si="1"/>
        <v>1</v>
      </c>
      <c r="AH9" s="1">
        <f t="shared" si="2"/>
        <v>0</v>
      </c>
      <c r="AI9" s="1">
        <f t="shared" si="3"/>
        <v>11</v>
      </c>
      <c r="AJ9" s="1">
        <f t="shared" si="4"/>
        <v>5</v>
      </c>
    </row>
    <row r="10" spans="1:36" ht="16.5">
      <c r="A10" s="13">
        <f t="shared" si="5"/>
        <v>70</v>
      </c>
      <c r="B10" s="13" t="s">
        <v>27</v>
      </c>
      <c r="C10" s="13">
        <v>1</v>
      </c>
      <c r="D10" s="14">
        <v>0.53125</v>
      </c>
      <c r="E10" s="13" t="s">
        <v>9</v>
      </c>
      <c r="F10" s="13" t="str">
        <f>Saisondaten!$B$30</f>
        <v>1. MKC Duisburg</v>
      </c>
      <c r="G10" s="13" t="s">
        <v>43</v>
      </c>
      <c r="H10" s="13" t="str">
        <f>Saisondaten!$B$32</f>
        <v>KC Wetter</v>
      </c>
      <c r="I10" s="20">
        <v>3</v>
      </c>
      <c r="J10" s="13" t="s">
        <v>43</v>
      </c>
      <c r="K10" s="20">
        <v>3</v>
      </c>
      <c r="L10" s="179" t="str">
        <f>IF(VLOOKUP(A10,Schiedsrichter!$A$3:$I$176,8,FALSE)=0,"-",VLOOKUP(A10,Schiedsrichter!$A$3:$I$176,8,FALSE))</f>
        <v>Göttinger PC</v>
      </c>
      <c r="M10" s="173" t="s">
        <v>249</v>
      </c>
      <c r="N10" s="185" t="str">
        <f>IF(VLOOKUP(A10,Schiedsrichter!$A$3:$I$176,9,FALSE)=0,"-",VLOOKUP(A10,Schiedsrichter!$A$3:$I$176,9,FALSE))</f>
        <v>WSF Liblar</v>
      </c>
      <c r="P10" s="1">
        <f t="shared" si="6"/>
        <v>1</v>
      </c>
      <c r="Q10" s="1" t="str">
        <f t="shared" si="18"/>
        <v>1. MKC Duisburg</v>
      </c>
      <c r="R10" s="1">
        <f t="shared" si="7"/>
        <v>0</v>
      </c>
      <c r="S10" s="1">
        <f t="shared" si="8"/>
        <v>1</v>
      </c>
      <c r="T10" s="1">
        <f t="shared" si="9"/>
        <v>0</v>
      </c>
      <c r="U10" s="1">
        <f t="shared" si="10"/>
        <v>3</v>
      </c>
      <c r="V10" s="1">
        <f t="shared" si="11"/>
        <v>3</v>
      </c>
      <c r="W10" s="1" t="str">
        <f t="shared" si="12"/>
        <v>KC Wetter</v>
      </c>
      <c r="X10" s="1">
        <f t="shared" si="13"/>
        <v>0</v>
      </c>
      <c r="Y10" s="1">
        <f t="shared" si="14"/>
        <v>1</v>
      </c>
      <c r="Z10" s="1">
        <f t="shared" si="15"/>
        <v>0</v>
      </c>
      <c r="AA10" s="1">
        <f t="shared" si="16"/>
        <v>3</v>
      </c>
      <c r="AB10" s="1">
        <f t="shared" si="17"/>
        <v>3</v>
      </c>
      <c r="AE10" s="1" t="str">
        <f>Saisondaten!B21</f>
        <v>KC Wetter</v>
      </c>
      <c r="AF10" s="1">
        <f t="shared" si="0"/>
        <v>1</v>
      </c>
      <c r="AG10" s="1">
        <f t="shared" si="1"/>
        <v>0</v>
      </c>
      <c r="AH10" s="1">
        <f t="shared" si="2"/>
        <v>0</v>
      </c>
      <c r="AI10" s="1">
        <f t="shared" si="3"/>
        <v>7</v>
      </c>
      <c r="AJ10" s="1">
        <f t="shared" si="4"/>
        <v>3</v>
      </c>
    </row>
    <row r="11" spans="1:36" ht="16.5">
      <c r="A11" s="3">
        <f t="shared" si="5"/>
        <v>71</v>
      </c>
      <c r="B11" s="3" t="s">
        <v>27</v>
      </c>
      <c r="C11" s="3">
        <v>1</v>
      </c>
      <c r="D11" s="4">
        <v>0.5625</v>
      </c>
      <c r="E11" s="3" t="s">
        <v>9</v>
      </c>
      <c r="F11" s="3" t="str">
        <f>Saisondaten!$B$28</f>
        <v>KRM Essen</v>
      </c>
      <c r="G11" s="3" t="s">
        <v>43</v>
      </c>
      <c r="H11" s="3" t="str">
        <f>Saisondaten!$B$31</f>
        <v>KGW Essen</v>
      </c>
      <c r="I11" s="21">
        <v>7</v>
      </c>
      <c r="J11" s="3" t="s">
        <v>43</v>
      </c>
      <c r="K11" s="21">
        <v>2</v>
      </c>
      <c r="L11" s="180" t="str">
        <f>IF(VLOOKUP(A11,Schiedsrichter!$A$3:$I$176,8,FALSE)=0,"-",VLOOKUP(A11,Schiedsrichter!$A$3:$I$176,8,FALSE))</f>
        <v>1. MKC Duisburg</v>
      </c>
      <c r="M11" s="174" t="s">
        <v>249</v>
      </c>
      <c r="N11" s="186" t="str">
        <f>IF(VLOOKUP(A11,Schiedsrichter!$A$3:$I$176,9,FALSE)=0,"-",VLOOKUP(A11,Schiedsrichter!$A$3:$I$176,9,FALSE))</f>
        <v>KC Wetter</v>
      </c>
      <c r="P11" s="1">
        <f t="shared" si="6"/>
        <v>1</v>
      </c>
      <c r="Q11" s="1" t="str">
        <f t="shared" si="18"/>
        <v>KRM Essen</v>
      </c>
      <c r="R11" s="1">
        <f t="shared" si="7"/>
        <v>1</v>
      </c>
      <c r="S11" s="1">
        <f t="shared" si="8"/>
        <v>0</v>
      </c>
      <c r="T11" s="1">
        <f t="shared" si="9"/>
        <v>0</v>
      </c>
      <c r="U11" s="1">
        <f t="shared" si="10"/>
        <v>7</v>
      </c>
      <c r="V11" s="1">
        <f t="shared" si="11"/>
        <v>2</v>
      </c>
      <c r="W11" s="1" t="str">
        <f t="shared" si="12"/>
        <v>KGW Essen</v>
      </c>
      <c r="X11" s="1">
        <f t="shared" si="13"/>
        <v>0</v>
      </c>
      <c r="Y11" s="1">
        <f t="shared" si="14"/>
        <v>0</v>
      </c>
      <c r="Z11" s="1">
        <f t="shared" si="15"/>
        <v>1</v>
      </c>
      <c r="AA11" s="1">
        <f t="shared" si="16"/>
        <v>2</v>
      </c>
      <c r="AB11" s="1">
        <f t="shared" si="17"/>
        <v>7</v>
      </c>
      <c r="AE11" s="1" t="str">
        <f>Saisondaten!B22</f>
        <v>KGW Essen</v>
      </c>
      <c r="AF11" s="1">
        <f t="shared" si="0"/>
        <v>0</v>
      </c>
      <c r="AG11" s="1">
        <f t="shared" si="1"/>
        <v>2</v>
      </c>
      <c r="AH11" s="1">
        <f t="shared" si="2"/>
        <v>0</v>
      </c>
      <c r="AI11" s="1">
        <f t="shared" si="3"/>
        <v>6</v>
      </c>
      <c r="AJ11" s="1">
        <f t="shared" si="4"/>
        <v>6</v>
      </c>
    </row>
    <row r="12" spans="1:36" ht="16.5">
      <c r="A12" s="13">
        <f t="shared" si="5"/>
        <v>72</v>
      </c>
      <c r="B12" s="13" t="s">
        <v>27</v>
      </c>
      <c r="C12" s="13">
        <v>1</v>
      </c>
      <c r="D12" s="14">
        <v>0.59375</v>
      </c>
      <c r="E12" s="13" t="s">
        <v>9</v>
      </c>
      <c r="F12" s="13" t="str">
        <f>Saisondaten!$B$29</f>
        <v>WSF Liblar</v>
      </c>
      <c r="G12" s="13" t="s">
        <v>43</v>
      </c>
      <c r="H12" s="13" t="str">
        <f>Saisondaten!$B$33</f>
        <v>Göttinger PC</v>
      </c>
      <c r="I12" s="20">
        <v>6</v>
      </c>
      <c r="J12" s="13" t="s">
        <v>43</v>
      </c>
      <c r="K12" s="20">
        <v>1</v>
      </c>
      <c r="L12" s="179" t="str">
        <f>IF(VLOOKUP(A12,Schiedsrichter!$A$3:$I$176,8,FALSE)=0,"-",VLOOKUP(A12,Schiedsrichter!$A$3:$I$176,8,FALSE))</f>
        <v>KC Wetter</v>
      </c>
      <c r="M12" s="173" t="s">
        <v>249</v>
      </c>
      <c r="N12" s="185" t="str">
        <f>IF(VLOOKUP(A12,Schiedsrichter!$A$3:$I$176,9,FALSE)=0,"-",VLOOKUP(A12,Schiedsrichter!$A$3:$I$176,9,FALSE))</f>
        <v>KGW Essen</v>
      </c>
      <c r="P12" s="1">
        <f t="shared" si="6"/>
        <v>1</v>
      </c>
      <c r="Q12" s="1" t="str">
        <f t="shared" si="18"/>
        <v>WSF Liblar</v>
      </c>
      <c r="R12" s="1">
        <f t="shared" si="7"/>
        <v>1</v>
      </c>
      <c r="S12" s="1">
        <f t="shared" si="8"/>
        <v>0</v>
      </c>
      <c r="T12" s="1">
        <f t="shared" si="9"/>
        <v>0</v>
      </c>
      <c r="U12" s="1">
        <f t="shared" si="10"/>
        <v>6</v>
      </c>
      <c r="V12" s="1">
        <f t="shared" si="11"/>
        <v>1</v>
      </c>
      <c r="W12" s="1" t="str">
        <f t="shared" si="12"/>
        <v>Göttinger PC</v>
      </c>
      <c r="X12" s="1">
        <f t="shared" si="13"/>
        <v>0</v>
      </c>
      <c r="Y12" s="1">
        <f t="shared" si="14"/>
        <v>0</v>
      </c>
      <c r="Z12" s="1">
        <f t="shared" si="15"/>
        <v>1</v>
      </c>
      <c r="AA12" s="1">
        <f t="shared" si="16"/>
        <v>1</v>
      </c>
      <c r="AB12" s="1">
        <f t="shared" si="17"/>
        <v>6</v>
      </c>
      <c r="AE12" s="1" t="str">
        <f>Saisondaten!B23</f>
        <v>Göttinger PC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">
        <f t="shared" si="5"/>
        <v>73</v>
      </c>
      <c r="B13" s="3" t="s">
        <v>27</v>
      </c>
      <c r="C13" s="3">
        <v>1</v>
      </c>
      <c r="D13" s="4">
        <v>0.6458333333333334</v>
      </c>
      <c r="E13" s="3" t="s">
        <v>9</v>
      </c>
      <c r="F13" s="3" t="str">
        <f>Saisondaten!$B$28</f>
        <v>KRM Essen</v>
      </c>
      <c r="G13" s="3" t="s">
        <v>43</v>
      </c>
      <c r="H13" s="3" t="str">
        <f>Saisondaten!$B$30</f>
        <v>1. MKC Duisburg</v>
      </c>
      <c r="I13" s="21">
        <v>2</v>
      </c>
      <c r="J13" s="3" t="s">
        <v>43</v>
      </c>
      <c r="K13" s="21">
        <v>1</v>
      </c>
      <c r="L13" s="180" t="str">
        <f>IF(VLOOKUP(A13,Schiedsrichter!$A$3:$I$176,8,FALSE)=0,"-",VLOOKUP(A13,Schiedsrichter!$A$3:$I$176,8,FALSE))</f>
        <v>KGW Essen</v>
      </c>
      <c r="M13" s="174" t="s">
        <v>249</v>
      </c>
      <c r="N13" s="186" t="str">
        <f>IF(VLOOKUP(A13,Schiedsrichter!$A$3:$I$176,9,FALSE)=0,"-",VLOOKUP(A13,Schiedsrichter!$A$3:$I$176,9,FALSE))</f>
        <v>Göttinger PC</v>
      </c>
      <c r="P13" s="1">
        <f t="shared" si="6"/>
        <v>1</v>
      </c>
      <c r="Q13" s="1" t="str">
        <f t="shared" si="18"/>
        <v>KRM Essen</v>
      </c>
      <c r="R13" s="1">
        <f t="shared" si="7"/>
        <v>1</v>
      </c>
      <c r="S13" s="1">
        <f t="shared" si="8"/>
        <v>0</v>
      </c>
      <c r="T13" s="1">
        <f t="shared" si="9"/>
        <v>0</v>
      </c>
      <c r="U13" s="1">
        <f t="shared" si="10"/>
        <v>2</v>
      </c>
      <c r="V13" s="1">
        <f t="shared" si="11"/>
        <v>1</v>
      </c>
      <c r="W13" s="1" t="str">
        <f t="shared" si="12"/>
        <v>1. MKC Duisburg</v>
      </c>
      <c r="X13" s="1">
        <f t="shared" si="13"/>
        <v>0</v>
      </c>
      <c r="Y13" s="1">
        <f t="shared" si="14"/>
        <v>0</v>
      </c>
      <c r="Z13" s="1">
        <f t="shared" si="15"/>
        <v>1</v>
      </c>
      <c r="AA13" s="1">
        <f t="shared" si="16"/>
        <v>1</v>
      </c>
      <c r="AB13" s="1">
        <f t="shared" si="17"/>
        <v>2</v>
      </c>
      <c r="AE13" s="1" t="str">
        <f>Saisondaten!C18</f>
        <v>ACC Hamburg</v>
      </c>
      <c r="AF13" s="1">
        <f t="shared" si="0"/>
        <v>3</v>
      </c>
      <c r="AG13" s="1">
        <f t="shared" si="1"/>
        <v>1</v>
      </c>
      <c r="AH13" s="1">
        <f t="shared" si="2"/>
        <v>0</v>
      </c>
      <c r="AI13" s="1">
        <f t="shared" si="3"/>
        <v>20</v>
      </c>
      <c r="AJ13" s="1">
        <f t="shared" si="4"/>
        <v>7</v>
      </c>
    </row>
    <row r="14" spans="1:36" ht="16.5">
      <c r="A14" s="13">
        <f t="shared" si="5"/>
        <v>74</v>
      </c>
      <c r="B14" s="13" t="s">
        <v>27</v>
      </c>
      <c r="C14" s="13">
        <v>1</v>
      </c>
      <c r="D14" s="14">
        <v>0.6770833333333334</v>
      </c>
      <c r="E14" s="13" t="s">
        <v>9</v>
      </c>
      <c r="F14" s="13" t="str">
        <f>Saisondaten!$B$29</f>
        <v>WSF Liblar</v>
      </c>
      <c r="G14" s="13" t="s">
        <v>43</v>
      </c>
      <c r="H14" s="13" t="str">
        <f>Saisondaten!$B$32</f>
        <v>KC Wetter</v>
      </c>
      <c r="I14" s="20">
        <v>5</v>
      </c>
      <c r="J14" s="13" t="s">
        <v>43</v>
      </c>
      <c r="K14" s="20">
        <v>1</v>
      </c>
      <c r="L14" s="179" t="str">
        <f>IF(VLOOKUP(A14,Schiedsrichter!$A$3:$I$176,8,FALSE)=0,"-",VLOOKUP(A14,Schiedsrichter!$A$3:$I$176,8,FALSE))</f>
        <v>KRM Essen</v>
      </c>
      <c r="M14" s="173" t="s">
        <v>249</v>
      </c>
      <c r="N14" s="185" t="str">
        <f>IF(VLOOKUP(A14,Schiedsrichter!$A$3:$I$176,9,FALSE)=0,"-",VLOOKUP(A14,Schiedsrichter!$A$3:$I$176,9,FALSE))</f>
        <v>1. MKC Duisburg</v>
      </c>
      <c r="P14" s="1">
        <f t="shared" si="6"/>
        <v>1</v>
      </c>
      <c r="Q14" s="1" t="str">
        <f t="shared" si="18"/>
        <v>WSF Liblar</v>
      </c>
      <c r="R14" s="1">
        <f t="shared" si="7"/>
        <v>1</v>
      </c>
      <c r="S14" s="1">
        <f t="shared" si="8"/>
        <v>0</v>
      </c>
      <c r="T14" s="1">
        <f t="shared" si="9"/>
        <v>0</v>
      </c>
      <c r="U14" s="1">
        <f t="shared" si="10"/>
        <v>5</v>
      </c>
      <c r="V14" s="1">
        <f t="shared" si="11"/>
        <v>1</v>
      </c>
      <c r="W14" s="1" t="str">
        <f t="shared" si="12"/>
        <v>KC Wetter</v>
      </c>
      <c r="X14" s="1">
        <f t="shared" si="13"/>
        <v>0</v>
      </c>
      <c r="Y14" s="1">
        <f t="shared" si="14"/>
        <v>0</v>
      </c>
      <c r="Z14" s="1">
        <f t="shared" si="15"/>
        <v>1</v>
      </c>
      <c r="AA14" s="1">
        <f t="shared" si="16"/>
        <v>1</v>
      </c>
      <c r="AB14" s="1">
        <f t="shared" si="17"/>
        <v>5</v>
      </c>
      <c r="AE14" s="1" t="str">
        <f>Saisondaten!C19</f>
        <v>KCNW Berlin</v>
      </c>
      <c r="AF14" s="1">
        <f t="shared" si="0"/>
        <v>2</v>
      </c>
      <c r="AG14" s="1">
        <f t="shared" si="1"/>
        <v>0</v>
      </c>
      <c r="AH14" s="1">
        <f t="shared" si="2"/>
        <v>1</v>
      </c>
      <c r="AI14" s="1">
        <f t="shared" si="3"/>
        <v>13</v>
      </c>
      <c r="AJ14" s="1">
        <f t="shared" si="4"/>
        <v>9</v>
      </c>
    </row>
    <row r="15" spans="1:36" ht="16.5">
      <c r="A15" s="3">
        <f t="shared" si="5"/>
        <v>75</v>
      </c>
      <c r="B15" s="3" t="s">
        <v>27</v>
      </c>
      <c r="C15" s="3">
        <v>1</v>
      </c>
      <c r="D15" s="4">
        <v>0.7083333333333334</v>
      </c>
      <c r="E15" s="3" t="s">
        <v>9</v>
      </c>
      <c r="F15" s="3" t="str">
        <f>Saisondaten!$B$31</f>
        <v>KGW Essen</v>
      </c>
      <c r="G15" s="3" t="s">
        <v>43</v>
      </c>
      <c r="H15" s="3" t="str">
        <f>Saisondaten!$B$33</f>
        <v>Göttinger PC</v>
      </c>
      <c r="I15" s="21">
        <v>2</v>
      </c>
      <c r="J15" s="3" t="s">
        <v>43</v>
      </c>
      <c r="K15" s="21">
        <v>2</v>
      </c>
      <c r="L15" s="180" t="str">
        <f>IF(VLOOKUP(A15,Schiedsrichter!$A$3:$I$176,8,FALSE)=0,"-",VLOOKUP(A15,Schiedsrichter!$A$3:$I$176,8,FALSE))</f>
        <v>KRM Essen</v>
      </c>
      <c r="M15" s="174" t="s">
        <v>249</v>
      </c>
      <c r="N15" s="186" t="str">
        <f>IF(VLOOKUP(A15,Schiedsrichter!$A$3:$I$176,9,FALSE)=0,"-",VLOOKUP(A15,Schiedsrichter!$A$3:$I$176,9,FALSE))</f>
        <v>WSF Liblar</v>
      </c>
      <c r="P15" s="1">
        <f t="shared" si="6"/>
        <v>1</v>
      </c>
      <c r="Q15" s="1" t="str">
        <f t="shared" si="18"/>
        <v>KGW Essen</v>
      </c>
      <c r="R15" s="1">
        <f t="shared" si="7"/>
        <v>0</v>
      </c>
      <c r="S15" s="1">
        <f t="shared" si="8"/>
        <v>1</v>
      </c>
      <c r="T15" s="1">
        <f t="shared" si="9"/>
        <v>0</v>
      </c>
      <c r="U15" s="1">
        <f t="shared" si="10"/>
        <v>2</v>
      </c>
      <c r="V15" s="1">
        <f t="shared" si="11"/>
        <v>2</v>
      </c>
      <c r="W15" s="1" t="str">
        <f t="shared" si="12"/>
        <v>Göttinger PC</v>
      </c>
      <c r="X15" s="1">
        <f t="shared" si="13"/>
        <v>0</v>
      </c>
      <c r="Y15" s="1">
        <f t="shared" si="14"/>
        <v>1</v>
      </c>
      <c r="Z15" s="1">
        <f t="shared" si="15"/>
        <v>0</v>
      </c>
      <c r="AA15" s="1">
        <f t="shared" si="16"/>
        <v>2</v>
      </c>
      <c r="AB15" s="1">
        <f t="shared" si="17"/>
        <v>2</v>
      </c>
      <c r="AE15" s="1" t="str">
        <f>Saisondaten!C20</f>
        <v>RSV Hannover</v>
      </c>
      <c r="AF15" s="1">
        <f t="shared" si="0"/>
        <v>4</v>
      </c>
      <c r="AG15" s="1">
        <f t="shared" si="1"/>
        <v>1</v>
      </c>
      <c r="AH15" s="1">
        <f t="shared" si="2"/>
        <v>0</v>
      </c>
      <c r="AI15" s="1">
        <f t="shared" si="3"/>
        <v>16</v>
      </c>
      <c r="AJ15" s="1">
        <f t="shared" si="4"/>
        <v>9</v>
      </c>
    </row>
    <row r="16" spans="1:36" ht="7.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P16" s="1" t="str">
        <f t="shared" si="6"/>
        <v>na</v>
      </c>
      <c r="Q16" s="1">
        <f t="shared" si="18"/>
        <v>0</v>
      </c>
      <c r="R16" s="1">
        <f t="shared" si="7"/>
      </c>
      <c r="S16" s="1">
        <f t="shared" si="8"/>
      </c>
      <c r="T16" s="1">
        <f t="shared" si="9"/>
      </c>
      <c r="U16" s="1">
        <f t="shared" si="10"/>
      </c>
      <c r="V16" s="1">
        <f t="shared" si="11"/>
      </c>
      <c r="W16" s="1">
        <f t="shared" si="12"/>
        <v>0</v>
      </c>
      <c r="X16" s="1">
        <f t="shared" si="13"/>
      </c>
      <c r="Y16" s="1">
        <f t="shared" si="14"/>
      </c>
      <c r="Z16" s="1">
        <f t="shared" si="15"/>
      </c>
      <c r="AA16" s="1">
        <f t="shared" si="16"/>
      </c>
      <c r="AB16" s="1">
        <f t="shared" si="17"/>
      </c>
      <c r="AE16" s="1" t="str">
        <f>Saisondaten!C21</f>
        <v>VK Berlin</v>
      </c>
      <c r="AF16" s="1">
        <f t="shared" si="0"/>
        <v>1</v>
      </c>
      <c r="AG16" s="1">
        <f t="shared" si="1"/>
        <v>0</v>
      </c>
      <c r="AH16" s="1">
        <f t="shared" si="2"/>
        <v>0</v>
      </c>
      <c r="AI16" s="1">
        <f t="shared" si="3"/>
        <v>7</v>
      </c>
      <c r="AJ16" s="1">
        <f t="shared" si="4"/>
        <v>3</v>
      </c>
    </row>
    <row r="17" spans="1:36" ht="17.25">
      <c r="A17" s="350" t="str">
        <f>TEXT(Saisondaten!$C$10,"[$-F800]TTTT, MMMM TT, JJJJ")</f>
        <v>Sonntag, 1. Juli 2018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P17" s="1" t="str">
        <f t="shared" si="6"/>
        <v>na</v>
      </c>
      <c r="Q17" s="1">
        <f t="shared" si="18"/>
        <v>0</v>
      </c>
      <c r="R17" s="1">
        <f t="shared" si="7"/>
      </c>
      <c r="S17" s="1">
        <f t="shared" si="8"/>
      </c>
      <c r="T17" s="1">
        <f t="shared" si="9"/>
      </c>
      <c r="U17" s="1">
        <f t="shared" si="10"/>
      </c>
      <c r="V17" s="1">
        <f t="shared" si="11"/>
      </c>
      <c r="W17" s="1">
        <f t="shared" si="12"/>
        <v>0</v>
      </c>
      <c r="X17" s="1">
        <f t="shared" si="13"/>
      </c>
      <c r="Y17" s="1">
        <f t="shared" si="14"/>
      </c>
      <c r="Z17" s="1">
        <f t="shared" si="15"/>
      </c>
      <c r="AA17" s="1">
        <f t="shared" si="16"/>
      </c>
      <c r="AB17" s="1">
        <f t="shared" si="17"/>
      </c>
      <c r="AE17" s="1" t="str">
        <f>Saisondaten!C22</f>
        <v>KSV Glauchau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11">
        <f>A15+1</f>
        <v>76</v>
      </c>
      <c r="B18" s="11" t="s">
        <v>27</v>
      </c>
      <c r="C18" s="11">
        <v>1</v>
      </c>
      <c r="D18" s="12">
        <v>0.4166666666666667</v>
      </c>
      <c r="E18" s="11" t="s">
        <v>9</v>
      </c>
      <c r="F18" s="11" t="str">
        <f>Saisondaten!$B$31</f>
        <v>KGW Essen</v>
      </c>
      <c r="G18" s="11" t="s">
        <v>43</v>
      </c>
      <c r="H18" s="11" t="str">
        <f>Saisondaten!$B$32</f>
        <v>KC Wetter</v>
      </c>
      <c r="I18" s="19">
        <v>4</v>
      </c>
      <c r="J18" s="11" t="s">
        <v>43</v>
      </c>
      <c r="K18" s="19">
        <v>4</v>
      </c>
      <c r="L18" s="178" t="str">
        <f>IF(VLOOKUP(A18,Schiedsrichter!$A$3:$I$176,8,FALSE)=0,"-",VLOOKUP(A18,Schiedsrichter!$A$3:$I$176,8,FALSE))</f>
        <v>WSF Liblar</v>
      </c>
      <c r="M18" s="172" t="s">
        <v>249</v>
      </c>
      <c r="N18" s="184" t="str">
        <f>IF(VLOOKUP(A18,Schiedsrichter!$A$3:$I$176,9,FALSE)=0,"-",VLOOKUP(A18,Schiedsrichter!$A$3:$I$176,9,FALSE))</f>
        <v>1. MKC Duisburg</v>
      </c>
      <c r="P18" s="1">
        <f t="shared" si="6"/>
        <v>1</v>
      </c>
      <c r="Q18" s="1" t="str">
        <f t="shared" si="18"/>
        <v>KGW Essen</v>
      </c>
      <c r="R18" s="1">
        <f t="shared" si="7"/>
        <v>0</v>
      </c>
      <c r="S18" s="1">
        <f t="shared" si="8"/>
        <v>1</v>
      </c>
      <c r="T18" s="1">
        <f t="shared" si="9"/>
        <v>0</v>
      </c>
      <c r="U18" s="1">
        <f t="shared" si="10"/>
        <v>4</v>
      </c>
      <c r="V18" s="1">
        <f t="shared" si="11"/>
        <v>4</v>
      </c>
      <c r="W18" s="1" t="str">
        <f t="shared" si="12"/>
        <v>KC Wetter</v>
      </c>
      <c r="X18" s="1">
        <f t="shared" si="13"/>
        <v>0</v>
      </c>
      <c r="Y18" s="1">
        <f t="shared" si="14"/>
        <v>1</v>
      </c>
      <c r="Z18" s="1">
        <f t="shared" si="15"/>
        <v>0</v>
      </c>
      <c r="AA18" s="1">
        <f t="shared" si="16"/>
        <v>4</v>
      </c>
      <c r="AB18" s="1">
        <f t="shared" si="17"/>
        <v>4</v>
      </c>
      <c r="AE18" s="1" t="str">
        <f>Saisondaten!C23</f>
        <v>KSVH Berlin</v>
      </c>
      <c r="AF18" s="1">
        <f t="shared" si="0"/>
        <v>2</v>
      </c>
      <c r="AG18" s="1">
        <f t="shared" si="1"/>
        <v>0</v>
      </c>
      <c r="AH18" s="1">
        <f t="shared" si="2"/>
        <v>0</v>
      </c>
      <c r="AI18" s="1">
        <f t="shared" si="3"/>
        <v>11</v>
      </c>
      <c r="AJ18" s="1">
        <f t="shared" si="4"/>
        <v>1</v>
      </c>
    </row>
    <row r="19" spans="1:28" ht="16.5">
      <c r="A19" s="15">
        <f>A18+1</f>
        <v>77</v>
      </c>
      <c r="B19" s="15" t="s">
        <v>27</v>
      </c>
      <c r="C19" s="15">
        <v>1</v>
      </c>
      <c r="D19" s="16">
        <v>0.4479166666666667</v>
      </c>
      <c r="E19" s="15" t="s">
        <v>9</v>
      </c>
      <c r="F19" s="15" t="str">
        <f>Saisondaten!$B$28</f>
        <v>KRM Essen</v>
      </c>
      <c r="G19" s="15" t="s">
        <v>43</v>
      </c>
      <c r="H19" s="15" t="str">
        <f>Saisondaten!$B$33</f>
        <v>Göttinger PC</v>
      </c>
      <c r="I19" s="22">
        <v>5</v>
      </c>
      <c r="J19" s="15" t="s">
        <v>43</v>
      </c>
      <c r="K19" s="22">
        <v>2</v>
      </c>
      <c r="L19" s="181" t="str">
        <f>IF(VLOOKUP(A19,Schiedsrichter!$A$3:$I$176,8,FALSE)=0,"-",VLOOKUP(A19,Schiedsrichter!$A$3:$I$176,8,FALSE))</f>
        <v>KGW Essen</v>
      </c>
      <c r="M19" s="175" t="s">
        <v>249</v>
      </c>
      <c r="N19" s="187" t="str">
        <f>IF(VLOOKUP(A19,Schiedsrichter!$A$3:$I$176,9,FALSE)=0,"-",VLOOKUP(A19,Schiedsrichter!$A$3:$I$176,9,FALSE))</f>
        <v>KC Wetter</v>
      </c>
      <c r="P19" s="1">
        <f t="shared" si="6"/>
        <v>1</v>
      </c>
      <c r="Q19" s="1" t="str">
        <f t="shared" si="18"/>
        <v>KRM Essen</v>
      </c>
      <c r="R19" s="1">
        <f t="shared" si="7"/>
        <v>1</v>
      </c>
      <c r="S19" s="1">
        <f t="shared" si="8"/>
        <v>0</v>
      </c>
      <c r="T19" s="1">
        <f t="shared" si="9"/>
        <v>0</v>
      </c>
      <c r="U19" s="1">
        <f t="shared" si="10"/>
        <v>5</v>
      </c>
      <c r="V19" s="1">
        <f t="shared" si="11"/>
        <v>2</v>
      </c>
      <c r="W19" s="1" t="str">
        <f t="shared" si="12"/>
        <v>Göttinger PC</v>
      </c>
      <c r="X19" s="1">
        <f t="shared" si="13"/>
        <v>0</v>
      </c>
      <c r="Y19" s="1">
        <f t="shared" si="14"/>
        <v>0</v>
      </c>
      <c r="Z19" s="1">
        <f t="shared" si="15"/>
        <v>1</v>
      </c>
      <c r="AA19" s="1">
        <f t="shared" si="16"/>
        <v>2</v>
      </c>
      <c r="AB19" s="1">
        <f t="shared" si="17"/>
        <v>5</v>
      </c>
    </row>
    <row r="20" spans="1:28" ht="16.5">
      <c r="A20" s="3">
        <f>A19+1</f>
        <v>78</v>
      </c>
      <c r="B20" s="3" t="s">
        <v>27</v>
      </c>
      <c r="C20" s="3">
        <v>1</v>
      </c>
      <c r="D20" s="4">
        <v>0.4791666666666667</v>
      </c>
      <c r="E20" s="3" t="s">
        <v>9</v>
      </c>
      <c r="F20" s="3" t="str">
        <f>Saisondaten!$B$29</f>
        <v>WSF Liblar</v>
      </c>
      <c r="G20" s="3" t="s">
        <v>43</v>
      </c>
      <c r="H20" s="3" t="str">
        <f>Saisondaten!$B$30</f>
        <v>1. MKC Duisburg</v>
      </c>
      <c r="I20" s="21">
        <v>3</v>
      </c>
      <c r="J20" s="3" t="s">
        <v>43</v>
      </c>
      <c r="K20" s="21">
        <v>2</v>
      </c>
      <c r="L20" s="180" t="str">
        <f>IF(VLOOKUP(A20,Schiedsrichter!$A$3:$I$176,8,FALSE)=0,"-",VLOOKUP(A20,Schiedsrichter!$A$3:$I$176,8,FALSE))</f>
        <v>Göttinger PC</v>
      </c>
      <c r="M20" s="174" t="s">
        <v>249</v>
      </c>
      <c r="N20" s="186" t="str">
        <f>IF(VLOOKUP(A20,Schiedsrichter!$A$3:$I$176,9,FALSE)=0,"-",VLOOKUP(A20,Schiedsrichter!$A$3:$I$176,9,FALSE))</f>
        <v>KRM Essen</v>
      </c>
      <c r="P20" s="1">
        <f t="shared" si="6"/>
        <v>1</v>
      </c>
      <c r="Q20" s="1" t="str">
        <f t="shared" si="18"/>
        <v>WSF Liblar</v>
      </c>
      <c r="R20" s="1">
        <f t="shared" si="7"/>
        <v>1</v>
      </c>
      <c r="S20" s="1">
        <f t="shared" si="8"/>
        <v>0</v>
      </c>
      <c r="T20" s="1">
        <f t="shared" si="9"/>
        <v>0</v>
      </c>
      <c r="U20" s="1">
        <f t="shared" si="10"/>
        <v>3</v>
      </c>
      <c r="V20" s="1">
        <f t="shared" si="11"/>
        <v>2</v>
      </c>
      <c r="W20" s="1" t="str">
        <f t="shared" si="12"/>
        <v>1. MKC Duisburg</v>
      </c>
      <c r="X20" s="1">
        <f t="shared" si="13"/>
        <v>0</v>
      </c>
      <c r="Y20" s="1">
        <f t="shared" si="14"/>
        <v>0</v>
      </c>
      <c r="Z20" s="1">
        <f t="shared" si="15"/>
        <v>1</v>
      </c>
      <c r="AA20" s="1">
        <f t="shared" si="16"/>
        <v>2</v>
      </c>
      <c r="AB20" s="1">
        <f t="shared" si="17"/>
        <v>3</v>
      </c>
    </row>
    <row r="21" spans="1:36" ht="16.5">
      <c r="A21" s="13">
        <f>A20+1</f>
        <v>79</v>
      </c>
      <c r="B21" s="13" t="s">
        <v>27</v>
      </c>
      <c r="C21" s="13">
        <v>1</v>
      </c>
      <c r="D21" s="14">
        <v>0.5208333333333334</v>
      </c>
      <c r="E21" s="13" t="s">
        <v>9</v>
      </c>
      <c r="F21" s="13" t="str">
        <f>Saisondaten!$B$32</f>
        <v>KC Wetter</v>
      </c>
      <c r="G21" s="13" t="s">
        <v>43</v>
      </c>
      <c r="H21" s="13" t="str">
        <f>Saisondaten!$B$33</f>
        <v>Göttinger PC</v>
      </c>
      <c r="I21" s="20">
        <v>7</v>
      </c>
      <c r="J21" s="13" t="s">
        <v>43</v>
      </c>
      <c r="K21" s="20">
        <v>3</v>
      </c>
      <c r="L21" s="179" t="str">
        <f>IF(VLOOKUP(A21,Schiedsrichter!$A$3:$I$176,8,FALSE)=0,"-",VLOOKUP(A21,Schiedsrichter!$A$3:$I$176,8,FALSE))</f>
        <v>KRM Essen</v>
      </c>
      <c r="M21" s="173" t="s">
        <v>249</v>
      </c>
      <c r="N21" s="185" t="str">
        <f>IF(VLOOKUP(A21,Schiedsrichter!$A$3:$I$176,9,FALSE)=0,"-",VLOOKUP(A21,Schiedsrichter!$A$3:$I$176,9,FALSE))</f>
        <v>WSF Liblar</v>
      </c>
      <c r="P21" s="1">
        <f t="shared" si="6"/>
        <v>1</v>
      </c>
      <c r="Q21" s="1" t="str">
        <f t="shared" si="18"/>
        <v>KC Wetter</v>
      </c>
      <c r="R21" s="1">
        <f t="shared" si="7"/>
        <v>1</v>
      </c>
      <c r="S21" s="1">
        <f t="shared" si="8"/>
        <v>0</v>
      </c>
      <c r="T21" s="1">
        <f t="shared" si="9"/>
        <v>0</v>
      </c>
      <c r="U21" s="1">
        <f t="shared" si="10"/>
        <v>7</v>
      </c>
      <c r="V21" s="1">
        <f t="shared" si="11"/>
        <v>3</v>
      </c>
      <c r="W21" s="1" t="str">
        <f t="shared" si="12"/>
        <v>Göttinger PC</v>
      </c>
      <c r="X21" s="1">
        <f t="shared" si="13"/>
        <v>0</v>
      </c>
      <c r="Y21" s="1">
        <f t="shared" si="14"/>
        <v>0</v>
      </c>
      <c r="Z21" s="1">
        <f t="shared" si="15"/>
        <v>1</v>
      </c>
      <c r="AA21" s="1">
        <f t="shared" si="16"/>
        <v>3</v>
      </c>
      <c r="AB21" s="1">
        <f t="shared" si="17"/>
        <v>7</v>
      </c>
      <c r="AE21" s="63" t="s">
        <v>45</v>
      </c>
      <c r="AF21" s="1" t="s">
        <v>54</v>
      </c>
      <c r="AG21" s="1" t="s">
        <v>47</v>
      </c>
      <c r="AH21" s="1" t="s">
        <v>53</v>
      </c>
      <c r="AI21" s="1" t="s">
        <v>50</v>
      </c>
      <c r="AJ21" s="1" t="s">
        <v>23</v>
      </c>
    </row>
    <row r="22" spans="1:36" ht="16.5">
      <c r="A22" s="8">
        <f>A21+1</f>
        <v>80</v>
      </c>
      <c r="B22" s="8" t="s">
        <v>27</v>
      </c>
      <c r="C22" s="8">
        <v>1</v>
      </c>
      <c r="D22" s="9">
        <v>0.5520833333333334</v>
      </c>
      <c r="E22" s="8" t="s">
        <v>9</v>
      </c>
      <c r="F22" s="8" t="str">
        <f>Saisondaten!$B$30</f>
        <v>1. MKC Duisburg</v>
      </c>
      <c r="G22" s="8" t="s">
        <v>43</v>
      </c>
      <c r="H22" s="8" t="str">
        <f>Saisondaten!$B$31</f>
        <v>KGW Essen</v>
      </c>
      <c r="I22" s="23">
        <v>3</v>
      </c>
      <c r="J22" s="8" t="s">
        <v>43</v>
      </c>
      <c r="K22" s="23">
        <v>2</v>
      </c>
      <c r="L22" s="182" t="str">
        <f>IF(VLOOKUP(A22,Schiedsrichter!$A$3:$I$176,8,FALSE)=0,"-",VLOOKUP(A22,Schiedsrichter!$A$3:$I$176,8,FALSE))</f>
        <v>KC Wetter</v>
      </c>
      <c r="M22" s="176" t="s">
        <v>249</v>
      </c>
      <c r="N22" s="188" t="str">
        <f>IF(VLOOKUP(A22,Schiedsrichter!$A$3:$I$176,9,FALSE)=0,"-",VLOOKUP(A22,Schiedsrichter!$A$3:$I$176,9,FALSE))</f>
        <v>Göttinger PC</v>
      </c>
      <c r="P22" s="1">
        <f t="shared" si="6"/>
        <v>1</v>
      </c>
      <c r="Q22" s="1" t="str">
        <f t="shared" si="18"/>
        <v>1. MKC Duisburg</v>
      </c>
      <c r="R22" s="1">
        <f t="shared" si="7"/>
        <v>1</v>
      </c>
      <c r="S22" s="1">
        <f t="shared" si="8"/>
        <v>0</v>
      </c>
      <c r="T22" s="1">
        <f t="shared" si="9"/>
        <v>0</v>
      </c>
      <c r="U22" s="1">
        <f t="shared" si="10"/>
        <v>3</v>
      </c>
      <c r="V22" s="1">
        <f t="shared" si="11"/>
        <v>2</v>
      </c>
      <c r="W22" s="1" t="str">
        <f t="shared" si="12"/>
        <v>KGW Essen</v>
      </c>
      <c r="X22" s="1">
        <f t="shared" si="13"/>
        <v>0</v>
      </c>
      <c r="Y22" s="1">
        <f t="shared" si="14"/>
        <v>0</v>
      </c>
      <c r="Z22" s="1">
        <f t="shared" si="15"/>
        <v>1</v>
      </c>
      <c r="AA22" s="1">
        <f t="shared" si="16"/>
        <v>2</v>
      </c>
      <c r="AB22" s="1">
        <f t="shared" si="17"/>
        <v>3</v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7">
        <f>A22+1</f>
        <v>81</v>
      </c>
      <c r="B23" s="17" t="s">
        <v>27</v>
      </c>
      <c r="C23" s="17">
        <v>1</v>
      </c>
      <c r="D23" s="18">
        <v>0.5833333333333334</v>
      </c>
      <c r="E23" s="17" t="s">
        <v>9</v>
      </c>
      <c r="F23" s="17" t="str">
        <f>Saisondaten!$B$28</f>
        <v>KRM Essen</v>
      </c>
      <c r="G23" s="17" t="s">
        <v>43</v>
      </c>
      <c r="H23" s="17" t="str">
        <f>Saisondaten!$B$29</f>
        <v>WSF Liblar</v>
      </c>
      <c r="I23" s="24">
        <v>2</v>
      </c>
      <c r="J23" s="17" t="s">
        <v>43</v>
      </c>
      <c r="K23" s="24">
        <v>2</v>
      </c>
      <c r="L23" s="183" t="str">
        <f>IF(VLOOKUP(A23,Schiedsrichter!$A$3:$I$176,8,FALSE)=0,"-",VLOOKUP(A23,Schiedsrichter!$A$3:$I$176,8,FALSE))</f>
        <v>1. MKC Duisburg</v>
      </c>
      <c r="M23" s="177" t="s">
        <v>249</v>
      </c>
      <c r="N23" s="189" t="str">
        <f>IF(VLOOKUP(A23,Schiedsrichter!$A$3:$I$176,9,FALSE)=0,"-",VLOOKUP(A23,Schiedsrichter!$A$3:$I$176,9,FALSE))</f>
        <v>KGW Essen</v>
      </c>
      <c r="P23" s="1">
        <f t="shared" si="6"/>
        <v>1</v>
      </c>
      <c r="Q23" s="1" t="str">
        <f t="shared" si="18"/>
        <v>KRM Essen</v>
      </c>
      <c r="R23" s="1">
        <f t="shared" si="7"/>
        <v>0</v>
      </c>
      <c r="S23" s="1">
        <f t="shared" si="8"/>
        <v>1</v>
      </c>
      <c r="T23" s="1">
        <f t="shared" si="9"/>
        <v>0</v>
      </c>
      <c r="U23" s="1">
        <f t="shared" si="10"/>
        <v>2</v>
      </c>
      <c r="V23" s="1">
        <f t="shared" si="11"/>
        <v>2</v>
      </c>
      <c r="W23" s="1" t="str">
        <f t="shared" si="12"/>
        <v>WSF Liblar</v>
      </c>
      <c r="X23" s="1">
        <f t="shared" si="13"/>
        <v>0</v>
      </c>
      <c r="Y23" s="1">
        <f t="shared" si="14"/>
        <v>1</v>
      </c>
      <c r="Z23" s="1">
        <f t="shared" si="15"/>
        <v>0</v>
      </c>
      <c r="AA23" s="1">
        <f t="shared" si="16"/>
        <v>2</v>
      </c>
      <c r="AB23" s="1">
        <f t="shared" si="17"/>
        <v>2</v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1</v>
      </c>
      <c r="AH23" s="1">
        <f t="shared" si="21"/>
        <v>0</v>
      </c>
      <c r="AI23" s="1">
        <f t="shared" si="22"/>
        <v>2</v>
      </c>
      <c r="AJ23" s="1">
        <f t="shared" si="23"/>
        <v>2</v>
      </c>
    </row>
    <row r="24" spans="4:36" ht="16.5">
      <c r="D24" s="2"/>
      <c r="M24" s="3"/>
      <c r="P24" s="1" t="str">
        <f t="shared" si="6"/>
        <v>na</v>
      </c>
      <c r="Q24" s="1">
        <f t="shared" si="18"/>
        <v>0</v>
      </c>
      <c r="R24" s="1">
        <f t="shared" si="7"/>
      </c>
      <c r="S24" s="1">
        <f t="shared" si="8"/>
      </c>
      <c r="T24" s="1">
        <f t="shared" si="9"/>
      </c>
      <c r="U24" s="1">
        <f t="shared" si="10"/>
      </c>
      <c r="V24" s="1">
        <f t="shared" si="11"/>
      </c>
      <c r="W24" s="1">
        <f t="shared" si="12"/>
        <v>0</v>
      </c>
      <c r="X24" s="1">
        <f t="shared" si="13"/>
      </c>
      <c r="Y24" s="1">
        <f t="shared" si="14"/>
      </c>
      <c r="Z24" s="1">
        <f t="shared" si="15"/>
      </c>
      <c r="AA24" s="1">
        <f t="shared" si="16"/>
      </c>
      <c r="AB24" s="1">
        <f t="shared" si="17"/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2</v>
      </c>
      <c r="AI24" s="1">
        <f t="shared" si="22"/>
        <v>3</v>
      </c>
      <c r="AJ24" s="1">
        <f t="shared" si="23"/>
        <v>5</v>
      </c>
    </row>
    <row r="25" spans="1:36" ht="18">
      <c r="A25" s="353" t="str">
        <f>"3. Spieltag, Gruppe B"&amp;" in "&amp;Saisondaten!$E$10</f>
        <v>3. Spieltag, Gruppe B in Hamburg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P25" s="1" t="str">
        <f t="shared" si="6"/>
        <v>na</v>
      </c>
      <c r="Q25" s="1">
        <f t="shared" si="18"/>
        <v>0</v>
      </c>
      <c r="R25" s="1">
        <f t="shared" si="7"/>
      </c>
      <c r="S25" s="1">
        <f t="shared" si="8"/>
      </c>
      <c r="T25" s="1">
        <f t="shared" si="9"/>
      </c>
      <c r="U25" s="1">
        <f t="shared" si="10"/>
      </c>
      <c r="V25" s="1">
        <f t="shared" si="11"/>
      </c>
      <c r="W25" s="1">
        <f t="shared" si="12"/>
        <v>0</v>
      </c>
      <c r="X25" s="1">
        <f t="shared" si="13"/>
      </c>
      <c r="Y25" s="1">
        <f t="shared" si="14"/>
      </c>
      <c r="Z25" s="1">
        <f t="shared" si="15"/>
      </c>
      <c r="AA25" s="1">
        <f t="shared" si="16"/>
      </c>
      <c r="AB25" s="1">
        <f t="shared" si="17"/>
      </c>
      <c r="AE25" s="1" t="str">
        <f t="shared" si="24"/>
        <v>KC Wetter</v>
      </c>
      <c r="AF25" s="1">
        <f t="shared" si="19"/>
        <v>0</v>
      </c>
      <c r="AG25" s="1">
        <f t="shared" si="20"/>
        <v>2</v>
      </c>
      <c r="AH25" s="1">
        <f t="shared" si="21"/>
        <v>2</v>
      </c>
      <c r="AI25" s="1">
        <f t="shared" si="22"/>
        <v>8</v>
      </c>
      <c r="AJ25" s="1">
        <f t="shared" si="23"/>
        <v>19</v>
      </c>
    </row>
    <row r="26" spans="1:36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 t="str">
        <f t="shared" si="6"/>
        <v>na</v>
      </c>
      <c r="Q26" s="1">
        <f t="shared" si="18"/>
        <v>0</v>
      </c>
      <c r="R26" s="1">
        <f t="shared" si="7"/>
      </c>
      <c r="S26" s="1">
        <f t="shared" si="8"/>
      </c>
      <c r="T26" s="1">
        <f t="shared" si="9"/>
      </c>
      <c r="U26" s="1">
        <f t="shared" si="10"/>
      </c>
      <c r="V26" s="1">
        <f t="shared" si="11"/>
      </c>
      <c r="W26" s="1">
        <f t="shared" si="12"/>
        <v>0</v>
      </c>
      <c r="X26" s="1">
        <f t="shared" si="13"/>
      </c>
      <c r="Y26" s="1">
        <f t="shared" si="14"/>
      </c>
      <c r="Z26" s="1">
        <f t="shared" si="15"/>
      </c>
      <c r="AA26" s="1">
        <f t="shared" si="16"/>
      </c>
      <c r="AB26" s="1">
        <f t="shared" si="17"/>
      </c>
      <c r="AE26" s="1" t="str">
        <f t="shared" si="24"/>
        <v>KGW Essen</v>
      </c>
      <c r="AF26" s="1">
        <f t="shared" si="19"/>
        <v>0</v>
      </c>
      <c r="AG26" s="1">
        <f t="shared" si="20"/>
        <v>0</v>
      </c>
      <c r="AH26" s="1">
        <f t="shared" si="21"/>
        <v>3</v>
      </c>
      <c r="AI26" s="1">
        <f t="shared" si="22"/>
        <v>7</v>
      </c>
      <c r="AJ26" s="1">
        <f t="shared" si="23"/>
        <v>14</v>
      </c>
    </row>
    <row r="27" spans="1:36" ht="17.25">
      <c r="A27" s="347" t="str">
        <f>TEXT(Saisondaten!$B$10,"[$-F800]TTTT, MMMM TT, JJJJ")</f>
        <v>Samstag, 30. Juni 2018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P27" s="1" t="str">
        <f t="shared" si="6"/>
        <v>na</v>
      </c>
      <c r="Q27" s="1">
        <f t="shared" si="18"/>
        <v>0</v>
      </c>
      <c r="R27" s="1">
        <f t="shared" si="7"/>
      </c>
      <c r="S27" s="1">
        <f t="shared" si="8"/>
      </c>
      <c r="T27" s="1">
        <f t="shared" si="9"/>
      </c>
      <c r="U27" s="1">
        <f t="shared" si="10"/>
      </c>
      <c r="V27" s="1">
        <f t="shared" si="11"/>
      </c>
      <c r="W27" s="1">
        <f t="shared" si="12"/>
        <v>0</v>
      </c>
      <c r="X27" s="1">
        <f t="shared" si="13"/>
      </c>
      <c r="Y27" s="1">
        <f t="shared" si="14"/>
      </c>
      <c r="Z27" s="1">
        <f t="shared" si="15"/>
      </c>
      <c r="AA27" s="1">
        <f t="shared" si="16"/>
      </c>
      <c r="AB27" s="1">
        <f t="shared" si="17"/>
      </c>
      <c r="AE27" s="1" t="str">
        <f t="shared" si="24"/>
        <v>Göttinger PC</v>
      </c>
      <c r="AF27" s="1">
        <f t="shared" si="19"/>
        <v>0</v>
      </c>
      <c r="AG27" s="1">
        <f t="shared" si="20"/>
        <v>1</v>
      </c>
      <c r="AH27" s="1">
        <f t="shared" si="21"/>
        <v>4</v>
      </c>
      <c r="AI27" s="1">
        <f t="shared" si="22"/>
        <v>8</v>
      </c>
      <c r="AJ27" s="1">
        <f t="shared" si="23"/>
        <v>25</v>
      </c>
    </row>
    <row r="28" spans="1:36" ht="16.5">
      <c r="A28" s="10" t="s">
        <v>38</v>
      </c>
      <c r="B28" s="10"/>
      <c r="C28" s="10" t="s">
        <v>39</v>
      </c>
      <c r="D28" s="10" t="s">
        <v>40</v>
      </c>
      <c r="E28" s="10" t="s">
        <v>8</v>
      </c>
      <c r="F28" s="348" t="s">
        <v>7</v>
      </c>
      <c r="G28" s="348"/>
      <c r="H28" s="348"/>
      <c r="I28" s="348" t="s">
        <v>41</v>
      </c>
      <c r="J28" s="348"/>
      <c r="K28" s="348"/>
      <c r="L28" s="348" t="s">
        <v>26</v>
      </c>
      <c r="M28" s="348"/>
      <c r="N28" s="348"/>
      <c r="P28" s="1" t="str">
        <f t="shared" si="6"/>
        <v>na</v>
      </c>
      <c r="Q28" s="1" t="str">
        <f t="shared" si="18"/>
        <v>Mannschaften</v>
      </c>
      <c r="R28" s="1">
        <f t="shared" si="7"/>
      </c>
      <c r="S28" s="1">
        <f t="shared" si="8"/>
      </c>
      <c r="T28" s="1">
        <f t="shared" si="9"/>
      </c>
      <c r="U28" s="1">
        <f t="shared" si="10"/>
      </c>
      <c r="V28" s="1">
        <f t="shared" si="11"/>
      </c>
      <c r="W28" s="1">
        <f t="shared" si="12"/>
        <v>0</v>
      </c>
      <c r="X28" s="1">
        <f t="shared" si="13"/>
      </c>
      <c r="Y28" s="1">
        <f t="shared" si="14"/>
      </c>
      <c r="Z28" s="1">
        <f t="shared" si="15"/>
      </c>
      <c r="AA28" s="1">
        <f t="shared" si="16"/>
      </c>
      <c r="AB28" s="1">
        <f t="shared" si="17"/>
      </c>
      <c r="AE28" s="1" t="str">
        <f t="shared" si="24"/>
        <v>ACC Hamburg</v>
      </c>
      <c r="AF28" s="1">
        <f t="shared" si="19"/>
        <v>0</v>
      </c>
      <c r="AG28" s="1">
        <f t="shared" si="20"/>
        <v>0</v>
      </c>
      <c r="AH28" s="1">
        <f t="shared" si="21"/>
        <v>1</v>
      </c>
      <c r="AI28" s="1">
        <f t="shared" si="22"/>
        <v>1</v>
      </c>
      <c r="AJ28" s="1">
        <f t="shared" si="23"/>
        <v>3</v>
      </c>
    </row>
    <row r="29" spans="1:36" ht="16.5">
      <c r="A29" s="11">
        <f>A23+1</f>
        <v>82</v>
      </c>
      <c r="B29" s="11" t="s">
        <v>27</v>
      </c>
      <c r="C29" s="11">
        <v>1</v>
      </c>
      <c r="D29" s="12">
        <v>0.4166666666666667</v>
      </c>
      <c r="E29" s="11" t="s">
        <v>10</v>
      </c>
      <c r="F29" s="11" t="str">
        <f>Saisondaten!$C$28</f>
        <v>RSV Hannover</v>
      </c>
      <c r="G29" s="11" t="s">
        <v>43</v>
      </c>
      <c r="H29" s="11" t="str">
        <f>Saisondaten!$C$32</f>
        <v>VK Berlin</v>
      </c>
      <c r="I29" s="19">
        <v>3</v>
      </c>
      <c r="J29" s="11" t="s">
        <v>43</v>
      </c>
      <c r="K29" s="19">
        <v>2</v>
      </c>
      <c r="L29" s="178" t="str">
        <f>IF(VLOOKUP(A29,Schiedsrichter!$A$3:$I$176,8,FALSE)=0,"-",VLOOKUP(A29,Schiedsrichter!$A$3:$I$176,8,FALSE))</f>
        <v>ACC Hamburg</v>
      </c>
      <c r="M29" s="172" t="s">
        <v>249</v>
      </c>
      <c r="N29" s="184" t="str">
        <f>IF(VLOOKUP(A29,Schiedsrichter!$A$3:$I$176,9,FALSE)=0,"-",VLOOKUP(A29,Schiedsrichter!$A$3:$I$176,9,FALSE))</f>
        <v>KSVH Berlin</v>
      </c>
      <c r="P29" s="1">
        <f t="shared" si="6"/>
        <v>1</v>
      </c>
      <c r="Q29" s="1" t="str">
        <f t="shared" si="18"/>
        <v>RSV Hannover</v>
      </c>
      <c r="R29" s="1">
        <f t="shared" si="7"/>
        <v>1</v>
      </c>
      <c r="S29" s="1">
        <f t="shared" si="8"/>
        <v>0</v>
      </c>
      <c r="T29" s="1">
        <f t="shared" si="9"/>
        <v>0</v>
      </c>
      <c r="U29" s="1">
        <f t="shared" si="10"/>
        <v>3</v>
      </c>
      <c r="V29" s="1">
        <f t="shared" si="11"/>
        <v>2</v>
      </c>
      <c r="W29" s="1" t="str">
        <f t="shared" si="12"/>
        <v>VK Berlin</v>
      </c>
      <c r="X29" s="1">
        <f t="shared" si="13"/>
        <v>0</v>
      </c>
      <c r="Y29" s="1">
        <f t="shared" si="14"/>
        <v>0</v>
      </c>
      <c r="Z29" s="1">
        <f t="shared" si="15"/>
        <v>1</v>
      </c>
      <c r="AA29" s="1">
        <f t="shared" si="16"/>
        <v>2</v>
      </c>
      <c r="AB29" s="1">
        <f t="shared" si="17"/>
        <v>3</v>
      </c>
      <c r="AE29" s="1" t="str">
        <f t="shared" si="24"/>
        <v>KCNW Berlin</v>
      </c>
      <c r="AF29" s="1">
        <f t="shared" si="19"/>
        <v>0</v>
      </c>
      <c r="AG29" s="1">
        <f t="shared" si="20"/>
        <v>0</v>
      </c>
      <c r="AH29" s="1">
        <f t="shared" si="21"/>
        <v>2</v>
      </c>
      <c r="AI29" s="1">
        <f t="shared" si="22"/>
        <v>4</v>
      </c>
      <c r="AJ29" s="1">
        <f t="shared" si="23"/>
        <v>8</v>
      </c>
    </row>
    <row r="30" spans="1:36" ht="16.5">
      <c r="A30" s="13">
        <f aca="true" t="shared" si="25" ref="A30:A37">A29+1</f>
        <v>83</v>
      </c>
      <c r="B30" s="13" t="s">
        <v>27</v>
      </c>
      <c r="C30" s="13">
        <v>1</v>
      </c>
      <c r="D30" s="14">
        <v>0.4479166666666667</v>
      </c>
      <c r="E30" s="13" t="s">
        <v>10</v>
      </c>
      <c r="F30" s="13" t="str">
        <f>Saisondaten!$C$30</f>
        <v>KCNW Berlin</v>
      </c>
      <c r="G30" s="13" t="s">
        <v>43</v>
      </c>
      <c r="H30" s="13" t="str">
        <f>Saisondaten!$C$33</f>
        <v>KSV Glauchau</v>
      </c>
      <c r="I30" s="20">
        <v>8</v>
      </c>
      <c r="J30" s="13" t="s">
        <v>43</v>
      </c>
      <c r="K30" s="20">
        <v>2</v>
      </c>
      <c r="L30" s="179" t="str">
        <f>IF(VLOOKUP(A30,Schiedsrichter!$A$3:$I$176,8,FALSE)=0,"-",VLOOKUP(A30,Schiedsrichter!$A$3:$I$176,8,FALSE))</f>
        <v>VK Berlin</v>
      </c>
      <c r="M30" s="173" t="s">
        <v>249</v>
      </c>
      <c r="N30" s="185" t="str">
        <f>IF(VLOOKUP(A30,Schiedsrichter!$A$3:$I$176,9,FALSE)=0,"-",VLOOKUP(A30,Schiedsrichter!$A$3:$I$176,9,FALSE))</f>
        <v>RSV Hannover</v>
      </c>
      <c r="P30" s="1">
        <f t="shared" si="6"/>
        <v>1</v>
      </c>
      <c r="Q30" s="1" t="str">
        <f t="shared" si="18"/>
        <v>KCNW Berlin</v>
      </c>
      <c r="R30" s="1">
        <f t="shared" si="7"/>
        <v>1</v>
      </c>
      <c r="S30" s="1">
        <f t="shared" si="8"/>
        <v>0</v>
      </c>
      <c r="T30" s="1">
        <f t="shared" si="9"/>
        <v>0</v>
      </c>
      <c r="U30" s="1">
        <f t="shared" si="10"/>
        <v>8</v>
      </c>
      <c r="V30" s="1">
        <f t="shared" si="11"/>
        <v>2</v>
      </c>
      <c r="W30" s="1" t="str">
        <f t="shared" si="12"/>
        <v>KSV Glauchau</v>
      </c>
      <c r="X30" s="1">
        <f t="shared" si="13"/>
        <v>0</v>
      </c>
      <c r="Y30" s="1">
        <f t="shared" si="14"/>
        <v>0</v>
      </c>
      <c r="Z30" s="1">
        <f t="shared" si="15"/>
        <v>1</v>
      </c>
      <c r="AA30" s="1">
        <f t="shared" si="16"/>
        <v>2</v>
      </c>
      <c r="AB30" s="1">
        <f t="shared" si="17"/>
        <v>8</v>
      </c>
      <c r="AE30" s="1" t="str">
        <f t="shared" si="24"/>
        <v>RSV Hannover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1">
        <f t="shared" si="22"/>
        <v>0</v>
      </c>
      <c r="AJ30" s="1">
        <f t="shared" si="23"/>
        <v>0</v>
      </c>
    </row>
    <row r="31" spans="1:36" ht="16.5">
      <c r="A31" s="3">
        <f t="shared" si="25"/>
        <v>84</v>
      </c>
      <c r="B31" s="3" t="s">
        <v>27</v>
      </c>
      <c r="C31" s="3">
        <v>1</v>
      </c>
      <c r="D31" s="4">
        <v>0.4791666666666667</v>
      </c>
      <c r="E31" s="3" t="s">
        <v>10</v>
      </c>
      <c r="F31" s="3" t="str">
        <f>Saisondaten!$C$29</f>
        <v>ACC Hamburg</v>
      </c>
      <c r="G31" s="3" t="s">
        <v>43</v>
      </c>
      <c r="H31" s="3" t="str">
        <f>Saisondaten!$C$31</f>
        <v>KSVH Berlin</v>
      </c>
      <c r="I31" s="21">
        <v>4</v>
      </c>
      <c r="J31" s="3" t="s">
        <v>43</v>
      </c>
      <c r="K31" s="21">
        <v>4</v>
      </c>
      <c r="L31" s="180" t="str">
        <f>IF(VLOOKUP(A31,Schiedsrichter!$A$3:$I$176,8,FALSE)=0,"-",VLOOKUP(A31,Schiedsrichter!$A$3:$I$176,8,FALSE))</f>
        <v>KCNW Berlin</v>
      </c>
      <c r="M31" s="174" t="s">
        <v>249</v>
      </c>
      <c r="N31" s="186" t="str">
        <f>IF(VLOOKUP(A31,Schiedsrichter!$A$3:$I$176,9,FALSE)=0,"-",VLOOKUP(A31,Schiedsrichter!$A$3:$I$176,9,FALSE))</f>
        <v>KSV Glauchau</v>
      </c>
      <c r="P31" s="1">
        <f t="shared" si="6"/>
        <v>1</v>
      </c>
      <c r="Q31" s="1" t="str">
        <f t="shared" si="18"/>
        <v>ACC Hamburg</v>
      </c>
      <c r="R31" s="1">
        <f t="shared" si="7"/>
        <v>0</v>
      </c>
      <c r="S31" s="1">
        <f t="shared" si="8"/>
        <v>1</v>
      </c>
      <c r="T31" s="1">
        <f t="shared" si="9"/>
        <v>0</v>
      </c>
      <c r="U31" s="1">
        <f t="shared" si="10"/>
        <v>4</v>
      </c>
      <c r="V31" s="1">
        <f t="shared" si="11"/>
        <v>4</v>
      </c>
      <c r="W31" s="1" t="str">
        <f t="shared" si="12"/>
        <v>KSVH Berlin</v>
      </c>
      <c r="X31" s="1">
        <f t="shared" si="13"/>
        <v>0</v>
      </c>
      <c r="Y31" s="1">
        <f t="shared" si="14"/>
        <v>1</v>
      </c>
      <c r="Z31" s="1">
        <f t="shared" si="15"/>
        <v>0</v>
      </c>
      <c r="AA31" s="1">
        <f t="shared" si="16"/>
        <v>4</v>
      </c>
      <c r="AB31" s="1">
        <f t="shared" si="17"/>
        <v>4</v>
      </c>
      <c r="AE31" s="1" t="str">
        <f t="shared" si="24"/>
        <v>VK Berlin</v>
      </c>
      <c r="AF31" s="1">
        <f t="shared" si="19"/>
        <v>0</v>
      </c>
      <c r="AG31" s="1">
        <f t="shared" si="20"/>
        <v>0</v>
      </c>
      <c r="AH31" s="1">
        <f t="shared" si="21"/>
        <v>4</v>
      </c>
      <c r="AI31" s="1">
        <f t="shared" si="22"/>
        <v>3</v>
      </c>
      <c r="AJ31" s="1">
        <f t="shared" si="23"/>
        <v>15</v>
      </c>
    </row>
    <row r="32" spans="1:36" ht="16.5">
      <c r="A32" s="13">
        <f t="shared" si="25"/>
        <v>85</v>
      </c>
      <c r="B32" s="13" t="s">
        <v>27</v>
      </c>
      <c r="C32" s="13">
        <v>1</v>
      </c>
      <c r="D32" s="14">
        <v>0.53125</v>
      </c>
      <c r="E32" s="13" t="s">
        <v>10</v>
      </c>
      <c r="F32" s="13" t="str">
        <f>Saisondaten!$C$30</f>
        <v>KCNW Berlin</v>
      </c>
      <c r="G32" s="13" t="s">
        <v>43</v>
      </c>
      <c r="H32" s="13" t="str">
        <f>Saisondaten!$C$32</f>
        <v>VK Berlin</v>
      </c>
      <c r="I32" s="20">
        <v>4</v>
      </c>
      <c r="J32" s="13" t="s">
        <v>43</v>
      </c>
      <c r="K32" s="20">
        <v>1</v>
      </c>
      <c r="L32" s="179" t="str">
        <f>IF(VLOOKUP(A32,Schiedsrichter!$A$3:$I$176,8,FALSE)=0,"-",VLOOKUP(A32,Schiedsrichter!$A$3:$I$176,8,FALSE))</f>
        <v>KSV Glauchau</v>
      </c>
      <c r="M32" s="173" t="s">
        <v>249</v>
      </c>
      <c r="N32" s="185" t="str">
        <f>IF(VLOOKUP(A32,Schiedsrichter!$A$3:$I$176,9,FALSE)=0,"-",VLOOKUP(A32,Schiedsrichter!$A$3:$I$176,9,FALSE))</f>
        <v>ACC Hamburg</v>
      </c>
      <c r="P32" s="1">
        <f t="shared" si="6"/>
        <v>1</v>
      </c>
      <c r="Q32" s="1" t="str">
        <f t="shared" si="18"/>
        <v>KCNW Berlin</v>
      </c>
      <c r="R32" s="1">
        <f t="shared" si="7"/>
        <v>1</v>
      </c>
      <c r="S32" s="1">
        <f t="shared" si="8"/>
        <v>0</v>
      </c>
      <c r="T32" s="1">
        <f t="shared" si="9"/>
        <v>0</v>
      </c>
      <c r="U32" s="1">
        <f t="shared" si="10"/>
        <v>4</v>
      </c>
      <c r="V32" s="1">
        <f t="shared" si="11"/>
        <v>1</v>
      </c>
      <c r="W32" s="1" t="str">
        <f t="shared" si="12"/>
        <v>VK Berlin</v>
      </c>
      <c r="X32" s="1">
        <f t="shared" si="13"/>
        <v>0</v>
      </c>
      <c r="Y32" s="1">
        <f t="shared" si="14"/>
        <v>0</v>
      </c>
      <c r="Z32" s="1">
        <f t="shared" si="15"/>
        <v>1</v>
      </c>
      <c r="AA32" s="1">
        <f t="shared" si="16"/>
        <v>1</v>
      </c>
      <c r="AB32" s="1">
        <f t="shared" si="17"/>
        <v>4</v>
      </c>
      <c r="AE32" s="1" t="str">
        <f t="shared" si="24"/>
        <v>KSV Glauchau</v>
      </c>
      <c r="AF32" s="1">
        <f t="shared" si="19"/>
        <v>0</v>
      </c>
      <c r="AG32" s="1">
        <f t="shared" si="20"/>
        <v>0</v>
      </c>
      <c r="AH32" s="1">
        <f t="shared" si="21"/>
        <v>5</v>
      </c>
      <c r="AI32" s="1">
        <f t="shared" si="22"/>
        <v>8</v>
      </c>
      <c r="AJ32" s="1">
        <f t="shared" si="23"/>
        <v>33</v>
      </c>
    </row>
    <row r="33" spans="1:36" ht="16.5">
      <c r="A33" s="3">
        <f t="shared" si="25"/>
        <v>86</v>
      </c>
      <c r="B33" s="3" t="s">
        <v>27</v>
      </c>
      <c r="C33" s="3">
        <v>1</v>
      </c>
      <c r="D33" s="4">
        <v>0.5625</v>
      </c>
      <c r="E33" s="3" t="s">
        <v>10</v>
      </c>
      <c r="F33" s="3" t="str">
        <f>Saisondaten!$C$28</f>
        <v>RSV Hannover</v>
      </c>
      <c r="G33" s="3" t="s">
        <v>43</v>
      </c>
      <c r="H33" s="3" t="str">
        <f>Saisondaten!$C$31</f>
        <v>KSVH Berlin</v>
      </c>
      <c r="I33" s="21">
        <v>3</v>
      </c>
      <c r="J33" s="3" t="s">
        <v>43</v>
      </c>
      <c r="K33" s="21">
        <v>3</v>
      </c>
      <c r="L33" s="180" t="str">
        <f>IF(VLOOKUP(A33,Schiedsrichter!$A$3:$I$176,8,FALSE)=0,"-",VLOOKUP(A33,Schiedsrichter!$A$3:$I$176,8,FALSE))</f>
        <v>KCNW Berlin</v>
      </c>
      <c r="M33" s="174" t="s">
        <v>249</v>
      </c>
      <c r="N33" s="186" t="str">
        <f>IF(VLOOKUP(A33,Schiedsrichter!$A$3:$I$176,9,FALSE)=0,"-",VLOOKUP(A33,Schiedsrichter!$A$3:$I$176,9,FALSE))</f>
        <v>VK Berlin</v>
      </c>
      <c r="P33" s="1">
        <f t="shared" si="6"/>
        <v>1</v>
      </c>
      <c r="Q33" s="1" t="str">
        <f t="shared" si="18"/>
        <v>RSV Hannover</v>
      </c>
      <c r="R33" s="1">
        <f t="shared" si="7"/>
        <v>0</v>
      </c>
      <c r="S33" s="1">
        <f t="shared" si="8"/>
        <v>1</v>
      </c>
      <c r="T33" s="1">
        <f t="shared" si="9"/>
        <v>0</v>
      </c>
      <c r="U33" s="1">
        <f t="shared" si="10"/>
        <v>3</v>
      </c>
      <c r="V33" s="1">
        <f t="shared" si="11"/>
        <v>3</v>
      </c>
      <c r="W33" s="1" t="str">
        <f t="shared" si="12"/>
        <v>KSVH Berlin</v>
      </c>
      <c r="X33" s="1">
        <f t="shared" si="13"/>
        <v>0</v>
      </c>
      <c r="Y33" s="1">
        <f t="shared" si="14"/>
        <v>1</v>
      </c>
      <c r="Z33" s="1">
        <f t="shared" si="15"/>
        <v>0</v>
      </c>
      <c r="AA33" s="1">
        <f t="shared" si="16"/>
        <v>3</v>
      </c>
      <c r="AB33" s="1">
        <f t="shared" si="17"/>
        <v>3</v>
      </c>
      <c r="AE33" s="1" t="str">
        <f t="shared" si="24"/>
        <v>KSVH Berlin</v>
      </c>
      <c r="AF33" s="1">
        <f t="shared" si="19"/>
        <v>1</v>
      </c>
      <c r="AG33" s="1">
        <f t="shared" si="20"/>
        <v>2</v>
      </c>
      <c r="AH33" s="1">
        <f t="shared" si="21"/>
        <v>0</v>
      </c>
      <c r="AI33" s="1">
        <f t="shared" si="22"/>
        <v>13</v>
      </c>
      <c r="AJ33" s="1">
        <f t="shared" si="23"/>
        <v>8</v>
      </c>
    </row>
    <row r="34" spans="1:28" ht="16.5">
      <c r="A34" s="13">
        <f t="shared" si="25"/>
        <v>87</v>
      </c>
      <c r="B34" s="13" t="s">
        <v>27</v>
      </c>
      <c r="C34" s="13">
        <v>1</v>
      </c>
      <c r="D34" s="14">
        <v>0.59375</v>
      </c>
      <c r="E34" s="13" t="s">
        <v>10</v>
      </c>
      <c r="F34" s="13" t="str">
        <f>Saisondaten!$C$29</f>
        <v>ACC Hamburg</v>
      </c>
      <c r="G34" s="13" t="s">
        <v>43</v>
      </c>
      <c r="H34" s="13" t="str">
        <f>Saisondaten!$C$33</f>
        <v>KSV Glauchau</v>
      </c>
      <c r="I34" s="20">
        <v>10</v>
      </c>
      <c r="J34" s="13" t="s">
        <v>43</v>
      </c>
      <c r="K34" s="20">
        <v>1</v>
      </c>
      <c r="L34" s="179" t="str">
        <f>IF(VLOOKUP(A34,Schiedsrichter!$A$3:$I$176,8,FALSE)=0,"-",VLOOKUP(A34,Schiedsrichter!$A$3:$I$176,8,FALSE))</f>
        <v>VK Berlin</v>
      </c>
      <c r="M34" s="173" t="s">
        <v>249</v>
      </c>
      <c r="N34" s="185" t="str">
        <f>IF(VLOOKUP(A34,Schiedsrichter!$A$3:$I$176,9,FALSE)=0,"-",VLOOKUP(A34,Schiedsrichter!$A$3:$I$176,9,FALSE))</f>
        <v>KSVH Berlin</v>
      </c>
      <c r="P34" s="1">
        <f t="shared" si="6"/>
        <v>1</v>
      </c>
      <c r="Q34" s="1" t="str">
        <f t="shared" si="18"/>
        <v>ACC Hamburg</v>
      </c>
      <c r="R34" s="1">
        <f t="shared" si="7"/>
        <v>1</v>
      </c>
      <c r="S34" s="1">
        <f t="shared" si="8"/>
        <v>0</v>
      </c>
      <c r="T34" s="1">
        <f t="shared" si="9"/>
        <v>0</v>
      </c>
      <c r="U34" s="1">
        <f t="shared" si="10"/>
        <v>10</v>
      </c>
      <c r="V34" s="1">
        <f t="shared" si="11"/>
        <v>1</v>
      </c>
      <c r="W34" s="1" t="str">
        <f t="shared" si="12"/>
        <v>KSV Glauchau</v>
      </c>
      <c r="X34" s="1">
        <f t="shared" si="13"/>
        <v>0</v>
      </c>
      <c r="Y34" s="1">
        <f t="shared" si="14"/>
        <v>0</v>
      </c>
      <c r="Z34" s="1">
        <f t="shared" si="15"/>
        <v>1</v>
      </c>
      <c r="AA34" s="1">
        <f t="shared" si="16"/>
        <v>1</v>
      </c>
      <c r="AB34" s="1">
        <f t="shared" si="17"/>
        <v>10</v>
      </c>
    </row>
    <row r="35" spans="1:28" ht="16.5">
      <c r="A35" s="3">
        <f t="shared" si="25"/>
        <v>88</v>
      </c>
      <c r="B35" s="3" t="s">
        <v>27</v>
      </c>
      <c r="C35" s="3">
        <v>1</v>
      </c>
      <c r="D35" s="4">
        <v>0.6458333333333334</v>
      </c>
      <c r="E35" s="3" t="s">
        <v>10</v>
      </c>
      <c r="F35" s="3" t="str">
        <f>Saisondaten!$C$28</f>
        <v>RSV Hannover</v>
      </c>
      <c r="G35" s="3" t="s">
        <v>43</v>
      </c>
      <c r="H35" s="3" t="str">
        <f>Saisondaten!$C$30</f>
        <v>KCNW Berlin</v>
      </c>
      <c r="I35" s="21">
        <v>4</v>
      </c>
      <c r="J35" s="3" t="s">
        <v>43</v>
      </c>
      <c r="K35" s="21">
        <v>2</v>
      </c>
      <c r="L35" s="180" t="str">
        <f>IF(VLOOKUP(A35,Schiedsrichter!$A$3:$I$176,8,FALSE)=0,"-",VLOOKUP(A35,Schiedsrichter!$A$3:$I$176,8,FALSE))</f>
        <v>KSVH Berlin</v>
      </c>
      <c r="M35" s="174" t="s">
        <v>249</v>
      </c>
      <c r="N35" s="186" t="str">
        <f>IF(VLOOKUP(A35,Schiedsrichter!$A$3:$I$176,9,FALSE)=0,"-",VLOOKUP(A35,Schiedsrichter!$A$3:$I$176,9,FALSE))</f>
        <v>KSV Glauchau</v>
      </c>
      <c r="P35" s="1">
        <f t="shared" si="6"/>
        <v>1</v>
      </c>
      <c r="Q35" s="1" t="str">
        <f t="shared" si="18"/>
        <v>RSV Hannover</v>
      </c>
      <c r="R35" s="1">
        <f t="shared" si="7"/>
        <v>1</v>
      </c>
      <c r="S35" s="1">
        <f t="shared" si="8"/>
        <v>0</v>
      </c>
      <c r="T35" s="1">
        <f t="shared" si="9"/>
        <v>0</v>
      </c>
      <c r="U35" s="1">
        <f t="shared" si="10"/>
        <v>4</v>
      </c>
      <c r="V35" s="1">
        <f t="shared" si="11"/>
        <v>2</v>
      </c>
      <c r="W35" s="1" t="str">
        <f t="shared" si="12"/>
        <v>KCNW Berlin</v>
      </c>
      <c r="X35" s="1">
        <f t="shared" si="13"/>
        <v>0</v>
      </c>
      <c r="Y35" s="1">
        <f t="shared" si="14"/>
        <v>0</v>
      </c>
      <c r="Z35" s="1">
        <f t="shared" si="15"/>
        <v>1</v>
      </c>
      <c r="AA35" s="1">
        <f t="shared" si="16"/>
        <v>2</v>
      </c>
      <c r="AB35" s="1">
        <f t="shared" si="17"/>
        <v>4</v>
      </c>
    </row>
    <row r="36" spans="1:28" ht="16.5">
      <c r="A36" s="13">
        <f t="shared" si="25"/>
        <v>89</v>
      </c>
      <c r="B36" s="13" t="s">
        <v>27</v>
      </c>
      <c r="C36" s="13">
        <v>1</v>
      </c>
      <c r="D36" s="14">
        <v>0.6770833333333334</v>
      </c>
      <c r="E36" s="13" t="s">
        <v>10</v>
      </c>
      <c r="F36" s="13" t="str">
        <f>Saisondaten!$C$29</f>
        <v>ACC Hamburg</v>
      </c>
      <c r="G36" s="13" t="s">
        <v>43</v>
      </c>
      <c r="H36" s="13" t="str">
        <f>Saisondaten!$C$32</f>
        <v>VK Berlin</v>
      </c>
      <c r="I36" s="20">
        <v>2</v>
      </c>
      <c r="J36" s="13" t="s">
        <v>43</v>
      </c>
      <c r="K36" s="20">
        <v>0</v>
      </c>
      <c r="L36" s="179" t="str">
        <f>IF(VLOOKUP(A36,Schiedsrichter!$A$3:$I$176,8,FALSE)=0,"-",VLOOKUP(A36,Schiedsrichter!$A$3:$I$176,8,FALSE))</f>
        <v>RSV Hannover</v>
      </c>
      <c r="M36" s="173" t="s">
        <v>249</v>
      </c>
      <c r="N36" s="185" t="str">
        <f>IF(VLOOKUP(A36,Schiedsrichter!$A$3:$I$176,9,FALSE)=0,"-",VLOOKUP(A36,Schiedsrichter!$A$3:$I$176,9,FALSE))</f>
        <v>KCNW Berlin</v>
      </c>
      <c r="P36" s="1">
        <f t="shared" si="6"/>
        <v>1</v>
      </c>
      <c r="Q36" s="1" t="str">
        <f t="shared" si="18"/>
        <v>ACC Hamburg</v>
      </c>
      <c r="R36" s="1">
        <f t="shared" si="7"/>
        <v>1</v>
      </c>
      <c r="S36" s="1">
        <f t="shared" si="8"/>
        <v>0</v>
      </c>
      <c r="T36" s="1">
        <f t="shared" si="9"/>
        <v>0</v>
      </c>
      <c r="U36" s="1">
        <f t="shared" si="10"/>
        <v>2</v>
      </c>
      <c r="V36" s="1">
        <f t="shared" si="11"/>
        <v>0</v>
      </c>
      <c r="W36" s="1" t="str">
        <f t="shared" si="12"/>
        <v>VK Berlin</v>
      </c>
      <c r="X36" s="1">
        <f t="shared" si="13"/>
        <v>0</v>
      </c>
      <c r="Y36" s="1">
        <f t="shared" si="14"/>
        <v>0</v>
      </c>
      <c r="Z36" s="1">
        <f t="shared" si="15"/>
        <v>1</v>
      </c>
      <c r="AA36" s="1">
        <f t="shared" si="16"/>
        <v>0</v>
      </c>
      <c r="AB36" s="1">
        <f t="shared" si="17"/>
        <v>2</v>
      </c>
    </row>
    <row r="37" spans="1:28" ht="16.5">
      <c r="A37" s="3">
        <f t="shared" si="25"/>
        <v>90</v>
      </c>
      <c r="B37" s="3" t="s">
        <v>27</v>
      </c>
      <c r="C37" s="3">
        <v>1</v>
      </c>
      <c r="D37" s="4">
        <v>0.7083333333333334</v>
      </c>
      <c r="E37" s="3" t="s">
        <v>10</v>
      </c>
      <c r="F37" s="3" t="str">
        <f>Saisondaten!$C$31</f>
        <v>KSVH Berlin</v>
      </c>
      <c r="G37" s="3" t="s">
        <v>43</v>
      </c>
      <c r="H37" s="3" t="str">
        <f>Saisondaten!$C$33</f>
        <v>KSV Glauchau</v>
      </c>
      <c r="I37" s="21">
        <v>5</v>
      </c>
      <c r="J37" s="3" t="s">
        <v>43</v>
      </c>
      <c r="K37" s="21">
        <v>1</v>
      </c>
      <c r="L37" s="180" t="str">
        <f>IF(VLOOKUP(A37,Schiedsrichter!$A$3:$I$176,8,FALSE)=0,"-",VLOOKUP(A37,Schiedsrichter!$A$3:$I$176,8,FALSE))</f>
        <v>RSV Hannover</v>
      </c>
      <c r="M37" s="174" t="s">
        <v>249</v>
      </c>
      <c r="N37" s="186" t="str">
        <f>IF(VLOOKUP(A37,Schiedsrichter!$A$3:$I$176,9,FALSE)=0,"-",VLOOKUP(A37,Schiedsrichter!$A$3:$I$176,9,FALSE))</f>
        <v>ACC Hamburg</v>
      </c>
      <c r="P37" s="1">
        <f t="shared" si="6"/>
        <v>1</v>
      </c>
      <c r="Q37" s="1" t="str">
        <f t="shared" si="18"/>
        <v>KSVH Berlin</v>
      </c>
      <c r="R37" s="1">
        <f t="shared" si="7"/>
        <v>1</v>
      </c>
      <c r="S37" s="1">
        <f t="shared" si="8"/>
        <v>0</v>
      </c>
      <c r="T37" s="1">
        <f t="shared" si="9"/>
        <v>0</v>
      </c>
      <c r="U37" s="1">
        <f t="shared" si="10"/>
        <v>5</v>
      </c>
      <c r="V37" s="1">
        <f t="shared" si="11"/>
        <v>1</v>
      </c>
      <c r="W37" s="1" t="str">
        <f t="shared" si="12"/>
        <v>KSV Glauchau</v>
      </c>
      <c r="X37" s="1">
        <f t="shared" si="13"/>
        <v>0</v>
      </c>
      <c r="Y37" s="1">
        <f t="shared" si="14"/>
        <v>0</v>
      </c>
      <c r="Z37" s="1">
        <f t="shared" si="15"/>
        <v>1</v>
      </c>
      <c r="AA37" s="1">
        <f t="shared" si="16"/>
        <v>1</v>
      </c>
      <c r="AB37" s="1">
        <f t="shared" si="17"/>
        <v>5</v>
      </c>
    </row>
    <row r="38" spans="1:28" ht="7.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P38" s="1" t="str">
        <f t="shared" si="6"/>
        <v>na</v>
      </c>
      <c r="Q38" s="1">
        <f t="shared" si="18"/>
        <v>0</v>
      </c>
      <c r="R38" s="1">
        <f t="shared" si="7"/>
      </c>
      <c r="S38" s="1">
        <f t="shared" si="8"/>
      </c>
      <c r="T38" s="1">
        <f t="shared" si="9"/>
      </c>
      <c r="U38" s="1">
        <f t="shared" si="10"/>
      </c>
      <c r="V38" s="1">
        <f t="shared" si="11"/>
      </c>
      <c r="W38" s="1">
        <f t="shared" si="12"/>
        <v>0</v>
      </c>
      <c r="X38" s="1">
        <f t="shared" si="13"/>
      </c>
      <c r="Y38" s="1">
        <f t="shared" si="14"/>
      </c>
      <c r="Z38" s="1">
        <f t="shared" si="15"/>
      </c>
      <c r="AA38" s="1">
        <f t="shared" si="16"/>
      </c>
      <c r="AB38" s="1">
        <f t="shared" si="17"/>
      </c>
    </row>
    <row r="39" spans="1:42" ht="17.25">
      <c r="A39" s="350" t="str">
        <f>TEXT(Saisondaten!$C$10,"[$-F800]TTTT, MMMM TT, JJJJ")</f>
        <v>Sonntag, 1. Juli 2018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P39" s="1" t="str">
        <f t="shared" si="6"/>
        <v>na</v>
      </c>
      <c r="Q39" s="1">
        <f t="shared" si="18"/>
        <v>0</v>
      </c>
      <c r="R39" s="1">
        <f t="shared" si="7"/>
      </c>
      <c r="S39" s="1">
        <f t="shared" si="8"/>
      </c>
      <c r="T39" s="1">
        <f t="shared" si="9"/>
      </c>
      <c r="U39" s="1">
        <f t="shared" si="10"/>
      </c>
      <c r="V39" s="1">
        <f t="shared" si="11"/>
      </c>
      <c r="W39" s="1">
        <f t="shared" si="12"/>
        <v>0</v>
      </c>
      <c r="X39" s="1">
        <f t="shared" si="13"/>
      </c>
      <c r="Y39" s="1">
        <f t="shared" si="14"/>
      </c>
      <c r="Z39" s="1">
        <f t="shared" si="15"/>
      </c>
      <c r="AA39" s="1">
        <f t="shared" si="16"/>
      </c>
      <c r="AB39" s="1">
        <f t="shared" si="17"/>
      </c>
      <c r="AD39" s="1" t="s">
        <v>70</v>
      </c>
      <c r="AE39" s="63" t="s">
        <v>45</v>
      </c>
      <c r="AF39" s="1" t="s">
        <v>8</v>
      </c>
      <c r="AG39" s="1" t="s">
        <v>54</v>
      </c>
      <c r="AH39" s="1" t="s">
        <v>47</v>
      </c>
      <c r="AI39" s="1" t="s">
        <v>53</v>
      </c>
      <c r="AJ39" s="1" t="s">
        <v>50</v>
      </c>
      <c r="AK39" s="1" t="s">
        <v>23</v>
      </c>
      <c r="AL39" s="1" t="s">
        <v>69</v>
      </c>
      <c r="AM39" s="349" t="s">
        <v>71</v>
      </c>
      <c r="AN39" s="349"/>
      <c r="AO39" s="349"/>
      <c r="AP39" s="349"/>
    </row>
    <row r="40" spans="1:73" ht="16.5">
      <c r="A40" s="11">
        <f>A37+1</f>
        <v>91</v>
      </c>
      <c r="B40" s="11" t="s">
        <v>27</v>
      </c>
      <c r="C40" s="11">
        <v>1</v>
      </c>
      <c r="D40" s="12">
        <v>0.4166666666666667</v>
      </c>
      <c r="E40" s="11" t="s">
        <v>10</v>
      </c>
      <c r="F40" s="11" t="str">
        <f>Saisondaten!$C$31</f>
        <v>KSVH Berlin</v>
      </c>
      <c r="G40" s="11" t="s">
        <v>43</v>
      </c>
      <c r="H40" s="11" t="str">
        <f>Saisondaten!$C$32</f>
        <v>VK Berlin</v>
      </c>
      <c r="I40" s="19">
        <v>6</v>
      </c>
      <c r="J40" s="11" t="s">
        <v>43</v>
      </c>
      <c r="K40" s="19">
        <v>0</v>
      </c>
      <c r="L40" s="178" t="str">
        <f>IF(VLOOKUP(A40,Schiedsrichter!$A$3:$I$176,8,FALSE)=0,"-",VLOOKUP(A40,Schiedsrichter!$A$3:$I$176,8,FALSE))</f>
        <v>ACC Hamburg</v>
      </c>
      <c r="M40" s="172" t="s">
        <v>249</v>
      </c>
      <c r="N40" s="184" t="str">
        <f>IF(VLOOKUP(A40,Schiedsrichter!$A$3:$I$176,9,FALSE)=0,"-",VLOOKUP(A40,Schiedsrichter!$A$3:$I$176,9,FALSE))</f>
        <v>KCNW Berlin</v>
      </c>
      <c r="P40" s="1">
        <f t="shared" si="6"/>
        <v>1</v>
      </c>
      <c r="Q40" s="1" t="str">
        <f t="shared" si="18"/>
        <v>KSVH Berlin</v>
      </c>
      <c r="R40" s="1">
        <f t="shared" si="7"/>
        <v>1</v>
      </c>
      <c r="S40" s="1">
        <f t="shared" si="8"/>
        <v>0</v>
      </c>
      <c r="T40" s="1">
        <f t="shared" si="9"/>
        <v>0</v>
      </c>
      <c r="U40" s="1">
        <f t="shared" si="10"/>
        <v>6</v>
      </c>
      <c r="V40" s="1">
        <f t="shared" si="11"/>
        <v>0</v>
      </c>
      <c r="W40" s="1" t="str">
        <f t="shared" si="12"/>
        <v>VK Berlin</v>
      </c>
      <c r="X40" s="1">
        <f t="shared" si="13"/>
        <v>0</v>
      </c>
      <c r="Y40" s="1">
        <f t="shared" si="14"/>
        <v>0</v>
      </c>
      <c r="Z40" s="1">
        <f t="shared" si="15"/>
        <v>1</v>
      </c>
      <c r="AA40" s="1">
        <f t="shared" si="16"/>
        <v>0</v>
      </c>
      <c r="AB40" s="1">
        <f t="shared" si="17"/>
        <v>6</v>
      </c>
      <c r="AD40" s="1">
        <f>RANK(BU40,$BU$40:$BU$51,1)</f>
        <v>1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4</v>
      </c>
      <c r="AH40" s="1">
        <f t="shared" si="27"/>
        <v>1</v>
      </c>
      <c r="AI40" s="1">
        <f t="shared" si="27"/>
        <v>0</v>
      </c>
      <c r="AJ40" s="1">
        <f t="shared" si="27"/>
        <v>23</v>
      </c>
      <c r="AK40" s="1">
        <f t="shared" si="27"/>
        <v>7</v>
      </c>
      <c r="AL40" s="1">
        <f>AG40*3+AH40*1</f>
        <v>13</v>
      </c>
      <c r="AM40" s="1">
        <f>AL40*99999999+(AJ40-AK40)*888888+AJ40*7777</f>
        <v>1314401066</v>
      </c>
      <c r="AN40" s="1">
        <f>RANK(AM40,AM$40:AM$51,0)</f>
        <v>1</v>
      </c>
      <c r="AO40" s="1">
        <f>IF(COUNTIF(AN$40:AN40,AN40)&gt;1,1,0)</f>
        <v>0</v>
      </c>
      <c r="AP40" s="1">
        <f>AO40+AM40</f>
        <v>1314401066</v>
      </c>
      <c r="AQ40" s="1">
        <f>RANK(AP40,AP$40:AP$51,0)</f>
        <v>1</v>
      </c>
      <c r="AR40" s="1">
        <f>IF(COUNTIF(AQ$40:AQ40,AQ40)&gt;1,1,0)</f>
        <v>0</v>
      </c>
      <c r="AS40" s="1">
        <f>AR40+AP40</f>
        <v>1314401066</v>
      </c>
      <c r="AT40" s="1">
        <f>RANK(AS40,AS$40:AS$51,0)</f>
        <v>1</v>
      </c>
      <c r="AU40" s="1">
        <f>IF(COUNTIF(AT$40:AT40,AT40)&gt;1,1,0)</f>
        <v>0</v>
      </c>
      <c r="AV40" s="1">
        <f>AU40+AS40</f>
        <v>1314401066</v>
      </c>
      <c r="AW40" s="1">
        <f>RANK(AV40,AV$40:AV$51,0)</f>
        <v>1</v>
      </c>
      <c r="AX40" s="1">
        <f>IF(COUNTIF(AW$40:AW40,AW40)&gt;1,1,0)</f>
        <v>0</v>
      </c>
      <c r="AY40" s="1">
        <f>AX40+AV40</f>
        <v>1314401066</v>
      </c>
      <c r="AZ40" s="1">
        <f>RANK(AY40,AY$40:AY$51,0)</f>
        <v>1</v>
      </c>
      <c r="BA40" s="1">
        <f>IF(COUNTIF(AZ$40:AZ40,AZ40)&gt;1,1,0)</f>
        <v>0</v>
      </c>
      <c r="BB40" s="1">
        <f>BA40+AY40</f>
        <v>1314401066</v>
      </c>
      <c r="BC40" s="1">
        <f>RANK(BB40,BB$40:BB$51,0)</f>
        <v>1</v>
      </c>
      <c r="BD40" s="1">
        <f>IF(COUNTIF(BC$40:BC40,BC40)&gt;1,1,0)</f>
        <v>0</v>
      </c>
      <c r="BE40" s="1">
        <f>BD40+BB40</f>
        <v>1314401066</v>
      </c>
      <c r="BF40" s="1">
        <f>RANK(BE40,BE$40:BE$51,0)</f>
        <v>1</v>
      </c>
      <c r="BG40" s="1">
        <f>IF(COUNTIF(BF$40:BF40,BF40)&gt;1,1,0)</f>
        <v>0</v>
      </c>
      <c r="BH40" s="1">
        <f>BG40+BE40</f>
        <v>1314401066</v>
      </c>
      <c r="BI40" s="1">
        <f>RANK(BH40,BH$40:BH$51,0)</f>
        <v>1</v>
      </c>
      <c r="BJ40" s="1">
        <f>IF(COUNTIF(BI$40:BI40,BI40)&gt;1,1,0)</f>
        <v>0</v>
      </c>
      <c r="BK40" s="1">
        <f>BJ40+BH40</f>
        <v>1314401066</v>
      </c>
      <c r="BL40" s="1">
        <f>RANK(BK40,BK$40:BK$51,0)</f>
        <v>1</v>
      </c>
      <c r="BM40" s="1">
        <f>IF(COUNTIF(BL$40:BL40,BL40)&gt;1,1,0)</f>
        <v>0</v>
      </c>
      <c r="BN40" s="1">
        <f>BM40+BK40</f>
        <v>1314401066</v>
      </c>
      <c r="BO40" s="1">
        <f>RANK(BN40,BN$40:BN$51,0)</f>
        <v>1</v>
      </c>
      <c r="BP40" s="1">
        <f>IF(COUNTIF(BO$40:BO40,BO40)&gt;1,1,0)</f>
        <v>0</v>
      </c>
      <c r="BQ40" s="1">
        <f>BP40+BN40</f>
        <v>1314401066</v>
      </c>
      <c r="BR40" s="1">
        <f>RANK(BQ40,BQ$40:BQ$51,0)</f>
        <v>1</v>
      </c>
      <c r="BS40" s="1">
        <f>IF(COUNTIF(BR$40:BR40,BR40)&gt;1,1,0)</f>
        <v>0</v>
      </c>
      <c r="BT40" s="1">
        <f>BS40+BQ40</f>
        <v>1314401066</v>
      </c>
      <c r="BU40" s="1">
        <f>RANK(BT40,BT$40:BT$51,0)</f>
        <v>1</v>
      </c>
    </row>
    <row r="41" spans="1:73" ht="16.5">
      <c r="A41" s="13">
        <f>A40+1</f>
        <v>92</v>
      </c>
      <c r="B41" s="13" t="s">
        <v>27</v>
      </c>
      <c r="C41" s="13">
        <v>1</v>
      </c>
      <c r="D41" s="14">
        <v>0.4479166666666667</v>
      </c>
      <c r="E41" s="13" t="s">
        <v>10</v>
      </c>
      <c r="F41" s="13" t="str">
        <f>Saisondaten!$C$28</f>
        <v>RSV Hannover</v>
      </c>
      <c r="G41" s="13" t="s">
        <v>43</v>
      </c>
      <c r="H41" s="13" t="str">
        <f>Saisondaten!$C$33</f>
        <v>KSV Glauchau</v>
      </c>
      <c r="I41" s="20">
        <v>3</v>
      </c>
      <c r="J41" s="13" t="s">
        <v>43</v>
      </c>
      <c r="K41" s="20">
        <v>1</v>
      </c>
      <c r="L41" s="179" t="str">
        <f>IF(VLOOKUP(A41,Schiedsrichter!$A$3:$I$176,8,FALSE)=0,"-",VLOOKUP(A41,Schiedsrichter!$A$3:$I$176,8,FALSE))</f>
        <v>KSVH Berlin</v>
      </c>
      <c r="M41" s="173" t="s">
        <v>249</v>
      </c>
      <c r="N41" s="185" t="str">
        <f>IF(VLOOKUP(A41,Schiedsrichter!$A$3:$I$176,9,FALSE)=0,"-",VLOOKUP(A41,Schiedsrichter!$A$3:$I$176,9,FALSE))</f>
        <v>VK Berlin</v>
      </c>
      <c r="P41" s="1">
        <f t="shared" si="6"/>
        <v>1</v>
      </c>
      <c r="Q41" s="1" t="str">
        <f t="shared" si="18"/>
        <v>RSV Hannover</v>
      </c>
      <c r="R41" s="1">
        <f t="shared" si="7"/>
        <v>1</v>
      </c>
      <c r="S41" s="1">
        <f t="shared" si="8"/>
        <v>0</v>
      </c>
      <c r="T41" s="1">
        <f t="shared" si="9"/>
        <v>0</v>
      </c>
      <c r="U41" s="1">
        <f t="shared" si="10"/>
        <v>3</v>
      </c>
      <c r="V41" s="1">
        <f t="shared" si="11"/>
        <v>1</v>
      </c>
      <c r="W41" s="1" t="str">
        <f t="shared" si="12"/>
        <v>KSV Glauchau</v>
      </c>
      <c r="X41" s="1">
        <f t="shared" si="13"/>
        <v>0</v>
      </c>
      <c r="Y41" s="1">
        <f t="shared" si="14"/>
        <v>0</v>
      </c>
      <c r="Z41" s="1">
        <f t="shared" si="15"/>
        <v>1</v>
      </c>
      <c r="AA41" s="1">
        <f t="shared" si="16"/>
        <v>1</v>
      </c>
      <c r="AB41" s="1">
        <f t="shared" si="17"/>
        <v>3</v>
      </c>
      <c r="AD41" s="1">
        <f aca="true" t="shared" si="28" ref="AD41:AD51">RANK(BU41,$BU$40:$BU$51,1)</f>
        <v>2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4</v>
      </c>
      <c r="AH41" s="1">
        <f t="shared" si="27"/>
        <v>1</v>
      </c>
      <c r="AI41" s="1">
        <f t="shared" si="27"/>
        <v>0</v>
      </c>
      <c r="AJ41" s="1">
        <f t="shared" si="27"/>
        <v>20</v>
      </c>
      <c r="AK41" s="1">
        <f t="shared" si="27"/>
        <v>9</v>
      </c>
      <c r="AL41" s="1">
        <f aca="true" t="shared" si="29" ref="AL41:AL51">AG41*3+AH41*1</f>
        <v>13</v>
      </c>
      <c r="AM41" s="1">
        <f aca="true" t="shared" si="30" ref="AM41:AM51">AL41*99999999+(AJ41-AK41)*888888+AJ41*7777</f>
        <v>1309933295</v>
      </c>
      <c r="AN41" s="1">
        <f aca="true" t="shared" si="31" ref="AN41:AN51">RANK(AM41,$AM$40:$AM$51,0)</f>
        <v>2</v>
      </c>
      <c r="AO41" s="1">
        <f>IF(COUNTIF(AN$40:AN41,AN41)&gt;1,1,0)</f>
        <v>0</v>
      </c>
      <c r="AP41" s="1">
        <f aca="true" t="shared" si="32" ref="AP41:AP51">AO41+AM41</f>
        <v>1309933295</v>
      </c>
      <c r="AQ41" s="1">
        <f aca="true" t="shared" si="33" ref="AQ41:AQ51">RANK(AP41,AP$40:AP$51,0)</f>
        <v>2</v>
      </c>
      <c r="AR41" s="1">
        <f>IF(COUNTIF(AQ$40:AQ41,AQ41)&gt;1,1,0)</f>
        <v>0</v>
      </c>
      <c r="AS41" s="1">
        <f aca="true" t="shared" si="34" ref="AS41:AS51">AR41+AP41</f>
        <v>1309933295</v>
      </c>
      <c r="AT41" s="1">
        <f aca="true" t="shared" si="35" ref="AT41:AT51">RANK(AS41,AS$40:AS$51,0)</f>
        <v>2</v>
      </c>
      <c r="AU41" s="1">
        <f>IF(COUNTIF(AT$40:AT41,AT41)&gt;1,1,0)</f>
        <v>0</v>
      </c>
      <c r="AV41" s="1">
        <f aca="true" t="shared" si="36" ref="AV41:AV51">AU41+AS41</f>
        <v>1309933295</v>
      </c>
      <c r="AW41" s="1">
        <f aca="true" t="shared" si="37" ref="AW41:AW51">RANK(AV41,AV$40:AV$51,0)</f>
        <v>2</v>
      </c>
      <c r="AX41" s="1">
        <f>IF(COUNTIF(AW$40:AW41,AW41)&gt;1,1,0)</f>
        <v>0</v>
      </c>
      <c r="AY41" s="1">
        <f aca="true" t="shared" si="38" ref="AY41:AY51">AX41+AV41</f>
        <v>1309933295</v>
      </c>
      <c r="AZ41" s="1">
        <f aca="true" t="shared" si="39" ref="AZ41:AZ51">RANK(AY41,AY$40:AY$51,0)</f>
        <v>2</v>
      </c>
      <c r="BA41" s="1">
        <f>IF(COUNTIF(AZ$40:AZ41,AZ41)&gt;1,1,0)</f>
        <v>0</v>
      </c>
      <c r="BB41" s="1">
        <f aca="true" t="shared" si="40" ref="BB41:BB51">BA41+AY41</f>
        <v>1309933295</v>
      </c>
      <c r="BC41" s="1">
        <f aca="true" t="shared" si="41" ref="BC41:BC51">RANK(BB41,BB$40:BB$51,0)</f>
        <v>2</v>
      </c>
      <c r="BD41" s="1">
        <f>IF(COUNTIF(BC$40:BC41,BC41)&gt;1,1,0)</f>
        <v>0</v>
      </c>
      <c r="BE41" s="1">
        <f aca="true" t="shared" si="42" ref="BE41:BE51">BD41+BB41</f>
        <v>1309933295</v>
      </c>
      <c r="BF41" s="1">
        <f aca="true" t="shared" si="43" ref="BF41:BF51">RANK(BE41,BE$40:BE$51,0)</f>
        <v>2</v>
      </c>
      <c r="BG41" s="1">
        <f>IF(COUNTIF(BF$40:BF41,BF41)&gt;1,1,0)</f>
        <v>0</v>
      </c>
      <c r="BH41" s="1">
        <f aca="true" t="shared" si="44" ref="BH41:BH51">BG41+BE41</f>
        <v>1309933295</v>
      </c>
      <c r="BI41" s="1">
        <f aca="true" t="shared" si="45" ref="BI41:BI51">RANK(BH41,BH$40:BH$51,0)</f>
        <v>2</v>
      </c>
      <c r="BJ41" s="1">
        <f>IF(COUNTIF(BI$40:BI41,BI41)&gt;1,1,0)</f>
        <v>0</v>
      </c>
      <c r="BK41" s="1">
        <f aca="true" t="shared" si="46" ref="BK41:BK51">BJ41+BH41</f>
        <v>1309933295</v>
      </c>
      <c r="BL41" s="1">
        <f aca="true" t="shared" si="47" ref="BL41:BL51">RANK(BK41,BK$40:BK$51,0)</f>
        <v>2</v>
      </c>
      <c r="BM41" s="1">
        <f>IF(COUNTIF(BL$40:BL41,BL41)&gt;1,1,0)</f>
        <v>0</v>
      </c>
      <c r="BN41" s="1">
        <f aca="true" t="shared" si="48" ref="BN41:BN51">BM41+BK41</f>
        <v>1309933295</v>
      </c>
      <c r="BO41" s="1">
        <f aca="true" t="shared" si="49" ref="BO41:BO51">RANK(BN41,BN$40:BN$51,0)</f>
        <v>2</v>
      </c>
      <c r="BP41" s="1">
        <f>IF(COUNTIF(BO$40:BO41,BO41)&gt;1,1,0)</f>
        <v>0</v>
      </c>
      <c r="BQ41" s="1">
        <f aca="true" t="shared" si="50" ref="BQ41:BQ51">BP41+BN41</f>
        <v>1309933295</v>
      </c>
      <c r="BR41" s="1">
        <f aca="true" t="shared" si="51" ref="BR41:BR51">RANK(BQ41,BQ$40:BQ$51,0)</f>
        <v>2</v>
      </c>
      <c r="BS41" s="1">
        <f>IF(COUNTIF(BR$40:BR41,BR41)&gt;1,1,0)</f>
        <v>0</v>
      </c>
      <c r="BT41" s="1">
        <f aca="true" t="shared" si="52" ref="BT41:BT51">BS41+BQ41</f>
        <v>1309933295</v>
      </c>
      <c r="BU41" s="1">
        <f aca="true" t="shared" si="53" ref="BU41:BU51">RANK(BT41,BT$40:BT$51,0)</f>
        <v>2</v>
      </c>
    </row>
    <row r="42" spans="1:73" ht="16.5">
      <c r="A42" s="3">
        <f>A41+1</f>
        <v>93</v>
      </c>
      <c r="B42" s="3" t="s">
        <v>27</v>
      </c>
      <c r="C42" s="3">
        <v>1</v>
      </c>
      <c r="D42" s="4">
        <v>0.4791666666666667</v>
      </c>
      <c r="E42" s="3" t="s">
        <v>10</v>
      </c>
      <c r="F42" s="3" t="str">
        <f>Saisondaten!$C$29</f>
        <v>ACC Hamburg</v>
      </c>
      <c r="G42" s="3" t="s">
        <v>43</v>
      </c>
      <c r="H42" s="3" t="str">
        <f>Saisondaten!$C$30</f>
        <v>KCNW Berlin</v>
      </c>
      <c r="I42" s="21">
        <v>4</v>
      </c>
      <c r="J42" s="3" t="s">
        <v>43</v>
      </c>
      <c r="K42" s="21">
        <v>2</v>
      </c>
      <c r="L42" s="180" t="str">
        <f>IF(VLOOKUP(A42,Schiedsrichter!$A$3:$I$176,8,FALSE)=0,"-",VLOOKUP(A42,Schiedsrichter!$A$3:$I$176,8,FALSE))</f>
        <v>KSV Glauchau</v>
      </c>
      <c r="M42" s="174" t="s">
        <v>249</v>
      </c>
      <c r="N42" s="186" t="str">
        <f>IF(VLOOKUP(A42,Schiedsrichter!$A$3:$I$176,9,FALSE)=0,"-",VLOOKUP(A42,Schiedsrichter!$A$3:$I$176,9,FALSE))</f>
        <v>RSV Hannover</v>
      </c>
      <c r="P42" s="1">
        <f t="shared" si="6"/>
        <v>1</v>
      </c>
      <c r="Q42" s="1" t="str">
        <f t="shared" si="18"/>
        <v>ACC Hamburg</v>
      </c>
      <c r="R42" s="1">
        <f t="shared" si="7"/>
        <v>1</v>
      </c>
      <c r="S42" s="1">
        <f t="shared" si="8"/>
        <v>0</v>
      </c>
      <c r="T42" s="1">
        <f t="shared" si="9"/>
        <v>0</v>
      </c>
      <c r="U42" s="1">
        <f t="shared" si="10"/>
        <v>4</v>
      </c>
      <c r="V42" s="1">
        <f t="shared" si="11"/>
        <v>2</v>
      </c>
      <c r="W42" s="1" t="str">
        <f t="shared" si="12"/>
        <v>KCNW Berlin</v>
      </c>
      <c r="X42" s="1">
        <f t="shared" si="13"/>
        <v>0</v>
      </c>
      <c r="Y42" s="1">
        <f t="shared" si="14"/>
        <v>0</v>
      </c>
      <c r="Z42" s="1">
        <f t="shared" si="15"/>
        <v>1</v>
      </c>
      <c r="AA42" s="1">
        <f t="shared" si="16"/>
        <v>2</v>
      </c>
      <c r="AB42" s="1">
        <f t="shared" si="17"/>
        <v>4</v>
      </c>
      <c r="AD42" s="1">
        <f t="shared" si="28"/>
        <v>6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2</v>
      </c>
      <c r="AH42" s="1">
        <f t="shared" si="27"/>
        <v>1</v>
      </c>
      <c r="AI42" s="1">
        <f t="shared" si="27"/>
        <v>2</v>
      </c>
      <c r="AJ42" s="1">
        <f t="shared" si="27"/>
        <v>14</v>
      </c>
      <c r="AK42" s="1">
        <f t="shared" si="27"/>
        <v>10</v>
      </c>
      <c r="AL42" s="1">
        <f t="shared" si="29"/>
        <v>7</v>
      </c>
      <c r="AM42" s="1">
        <f t="shared" si="30"/>
        <v>703664423</v>
      </c>
      <c r="AN42" s="1">
        <f t="shared" si="31"/>
        <v>6</v>
      </c>
      <c r="AO42" s="1">
        <f>IF(COUNTIF(AN$40:AN42,AN42)&gt;1,1,0)</f>
        <v>0</v>
      </c>
      <c r="AP42" s="1">
        <f t="shared" si="32"/>
        <v>703664423</v>
      </c>
      <c r="AQ42" s="1">
        <f t="shared" si="33"/>
        <v>6</v>
      </c>
      <c r="AR42" s="1">
        <f>IF(COUNTIF(AQ$40:AQ42,AQ42)&gt;1,1,0)</f>
        <v>0</v>
      </c>
      <c r="AS42" s="1">
        <f t="shared" si="34"/>
        <v>703664423</v>
      </c>
      <c r="AT42" s="1">
        <f t="shared" si="35"/>
        <v>6</v>
      </c>
      <c r="AU42" s="1">
        <f>IF(COUNTIF(AT$40:AT42,AT42)&gt;1,1,0)</f>
        <v>0</v>
      </c>
      <c r="AV42" s="1">
        <f t="shared" si="36"/>
        <v>703664423</v>
      </c>
      <c r="AW42" s="1">
        <f t="shared" si="37"/>
        <v>6</v>
      </c>
      <c r="AX42" s="1">
        <f>IF(COUNTIF(AW$40:AW42,AW42)&gt;1,1,0)</f>
        <v>0</v>
      </c>
      <c r="AY42" s="1">
        <f t="shared" si="38"/>
        <v>703664423</v>
      </c>
      <c r="AZ42" s="1">
        <f t="shared" si="39"/>
        <v>6</v>
      </c>
      <c r="BA42" s="1">
        <f>IF(COUNTIF(AZ$40:AZ42,AZ42)&gt;1,1,0)</f>
        <v>0</v>
      </c>
      <c r="BB42" s="1">
        <f t="shared" si="40"/>
        <v>703664423</v>
      </c>
      <c r="BC42" s="1">
        <f t="shared" si="41"/>
        <v>6</v>
      </c>
      <c r="BD42" s="1">
        <f>IF(COUNTIF(BC$40:BC42,BC42)&gt;1,1,0)</f>
        <v>0</v>
      </c>
      <c r="BE42" s="1">
        <f t="shared" si="42"/>
        <v>703664423</v>
      </c>
      <c r="BF42" s="1">
        <f t="shared" si="43"/>
        <v>6</v>
      </c>
      <c r="BG42" s="1">
        <f>IF(COUNTIF(BF$40:BF42,BF42)&gt;1,1,0)</f>
        <v>0</v>
      </c>
      <c r="BH42" s="1">
        <f t="shared" si="44"/>
        <v>703664423</v>
      </c>
      <c r="BI42" s="1">
        <f t="shared" si="45"/>
        <v>6</v>
      </c>
      <c r="BJ42" s="1">
        <f>IF(COUNTIF(BI$40:BI42,BI42)&gt;1,1,0)</f>
        <v>0</v>
      </c>
      <c r="BK42" s="1">
        <f t="shared" si="46"/>
        <v>703664423</v>
      </c>
      <c r="BL42" s="1">
        <f t="shared" si="47"/>
        <v>6</v>
      </c>
      <c r="BM42" s="1">
        <f>IF(COUNTIF(BL$40:BL42,BL42)&gt;1,1,0)</f>
        <v>0</v>
      </c>
      <c r="BN42" s="1">
        <f t="shared" si="48"/>
        <v>703664423</v>
      </c>
      <c r="BO42" s="1">
        <f t="shared" si="49"/>
        <v>6</v>
      </c>
      <c r="BP42" s="1">
        <f>IF(COUNTIF(BO$40:BO42,BO42)&gt;1,1,0)</f>
        <v>0</v>
      </c>
      <c r="BQ42" s="1">
        <f t="shared" si="50"/>
        <v>703664423</v>
      </c>
      <c r="BR42" s="1">
        <f t="shared" si="51"/>
        <v>6</v>
      </c>
      <c r="BS42" s="1">
        <f>IF(COUNTIF(BR$40:BR42,BR42)&gt;1,1,0)</f>
        <v>0</v>
      </c>
      <c r="BT42" s="1">
        <f t="shared" si="52"/>
        <v>703664423</v>
      </c>
      <c r="BU42" s="1">
        <f t="shared" si="53"/>
        <v>6</v>
      </c>
    </row>
    <row r="43" spans="1:73" ht="16.5">
      <c r="A43" s="13">
        <f>A42+1</f>
        <v>94</v>
      </c>
      <c r="B43" s="13" t="s">
        <v>27</v>
      </c>
      <c r="C43" s="13">
        <v>1</v>
      </c>
      <c r="D43" s="14">
        <v>0.5208333333333334</v>
      </c>
      <c r="E43" s="13" t="s">
        <v>10</v>
      </c>
      <c r="F43" s="13" t="str">
        <f>Saisondaten!$C$32</f>
        <v>VK Berlin</v>
      </c>
      <c r="G43" s="13" t="s">
        <v>43</v>
      </c>
      <c r="H43" s="13" t="str">
        <f>Saisondaten!$C$33</f>
        <v>KSV Glauchau</v>
      </c>
      <c r="I43" s="20">
        <v>7</v>
      </c>
      <c r="J43" s="13" t="s">
        <v>43</v>
      </c>
      <c r="K43" s="20">
        <v>3</v>
      </c>
      <c r="L43" s="179" t="str">
        <f>IF(VLOOKUP(A43,Schiedsrichter!$A$3:$I$176,8,FALSE)=0,"-",VLOOKUP(A43,Schiedsrichter!$A$3:$I$176,8,FALSE))</f>
        <v>RSV Hannover</v>
      </c>
      <c r="M43" s="173" t="s">
        <v>249</v>
      </c>
      <c r="N43" s="185" t="str">
        <f>IF(VLOOKUP(A43,Schiedsrichter!$A$3:$I$176,9,FALSE)=0,"-",VLOOKUP(A43,Schiedsrichter!$A$3:$I$176,9,FALSE))</f>
        <v>ACC Hamburg</v>
      </c>
      <c r="P43" s="1">
        <f t="shared" si="6"/>
        <v>1</v>
      </c>
      <c r="Q43" s="1" t="str">
        <f t="shared" si="18"/>
        <v>VK Berlin</v>
      </c>
      <c r="R43" s="1">
        <f t="shared" si="7"/>
        <v>1</v>
      </c>
      <c r="S43" s="1">
        <f t="shared" si="8"/>
        <v>0</v>
      </c>
      <c r="T43" s="1">
        <f t="shared" si="9"/>
        <v>0</v>
      </c>
      <c r="U43" s="1">
        <f t="shared" si="10"/>
        <v>7</v>
      </c>
      <c r="V43" s="1">
        <f t="shared" si="11"/>
        <v>3</v>
      </c>
      <c r="W43" s="1" t="str">
        <f t="shared" si="12"/>
        <v>KSV Glauchau</v>
      </c>
      <c r="X43" s="1">
        <f t="shared" si="13"/>
        <v>0</v>
      </c>
      <c r="Y43" s="1">
        <f t="shared" si="14"/>
        <v>0</v>
      </c>
      <c r="Z43" s="1">
        <f t="shared" si="15"/>
        <v>1</v>
      </c>
      <c r="AA43" s="1">
        <f t="shared" si="16"/>
        <v>3</v>
      </c>
      <c r="AB43" s="1">
        <f t="shared" si="17"/>
        <v>7</v>
      </c>
      <c r="AD43" s="1">
        <f t="shared" si="28"/>
        <v>8</v>
      </c>
      <c r="AE43" s="1" t="str">
        <f t="shared" si="26"/>
        <v>KC Wetter</v>
      </c>
      <c r="AF43" s="1" t="str">
        <f>Saisondaten!$B$17</f>
        <v>A</v>
      </c>
      <c r="AG43" s="1">
        <f t="shared" si="27"/>
        <v>1</v>
      </c>
      <c r="AH43" s="1">
        <f t="shared" si="27"/>
        <v>2</v>
      </c>
      <c r="AI43" s="1">
        <f t="shared" si="27"/>
        <v>2</v>
      </c>
      <c r="AJ43" s="1">
        <f t="shared" si="27"/>
        <v>15</v>
      </c>
      <c r="AK43" s="1">
        <f t="shared" si="27"/>
        <v>22</v>
      </c>
      <c r="AL43" s="1">
        <f t="shared" si="29"/>
        <v>5</v>
      </c>
      <c r="AM43" s="1">
        <f t="shared" si="30"/>
        <v>493894434</v>
      </c>
      <c r="AN43" s="1">
        <f t="shared" si="31"/>
        <v>8</v>
      </c>
      <c r="AO43" s="1">
        <f>IF(COUNTIF(AN$40:AN43,AN43)&gt;1,1,0)</f>
        <v>0</v>
      </c>
      <c r="AP43" s="1">
        <f t="shared" si="32"/>
        <v>493894434</v>
      </c>
      <c r="AQ43" s="1">
        <f t="shared" si="33"/>
        <v>8</v>
      </c>
      <c r="AR43" s="1">
        <f>IF(COUNTIF(AQ$40:AQ43,AQ43)&gt;1,1,0)</f>
        <v>0</v>
      </c>
      <c r="AS43" s="1">
        <f t="shared" si="34"/>
        <v>493894434</v>
      </c>
      <c r="AT43" s="1">
        <f t="shared" si="35"/>
        <v>8</v>
      </c>
      <c r="AU43" s="1">
        <f>IF(COUNTIF(AT$40:AT43,AT43)&gt;1,1,0)</f>
        <v>0</v>
      </c>
      <c r="AV43" s="1">
        <f t="shared" si="36"/>
        <v>493894434</v>
      </c>
      <c r="AW43" s="1">
        <f t="shared" si="37"/>
        <v>8</v>
      </c>
      <c r="AX43" s="1">
        <f>IF(COUNTIF(AW$40:AW43,AW43)&gt;1,1,0)</f>
        <v>0</v>
      </c>
      <c r="AY43" s="1">
        <f t="shared" si="38"/>
        <v>493894434</v>
      </c>
      <c r="AZ43" s="1">
        <f t="shared" si="39"/>
        <v>8</v>
      </c>
      <c r="BA43" s="1">
        <f>IF(COUNTIF(AZ$40:AZ43,AZ43)&gt;1,1,0)</f>
        <v>0</v>
      </c>
      <c r="BB43" s="1">
        <f t="shared" si="40"/>
        <v>493894434</v>
      </c>
      <c r="BC43" s="1">
        <f t="shared" si="41"/>
        <v>8</v>
      </c>
      <c r="BD43" s="1">
        <f>IF(COUNTIF(BC$40:BC43,BC43)&gt;1,1,0)</f>
        <v>0</v>
      </c>
      <c r="BE43" s="1">
        <f t="shared" si="42"/>
        <v>493894434</v>
      </c>
      <c r="BF43" s="1">
        <f t="shared" si="43"/>
        <v>8</v>
      </c>
      <c r="BG43" s="1">
        <f>IF(COUNTIF(BF$40:BF43,BF43)&gt;1,1,0)</f>
        <v>0</v>
      </c>
      <c r="BH43" s="1">
        <f t="shared" si="44"/>
        <v>493894434</v>
      </c>
      <c r="BI43" s="1">
        <f t="shared" si="45"/>
        <v>8</v>
      </c>
      <c r="BJ43" s="1">
        <f>IF(COUNTIF(BI$40:BI43,BI43)&gt;1,1,0)</f>
        <v>0</v>
      </c>
      <c r="BK43" s="1">
        <f t="shared" si="46"/>
        <v>493894434</v>
      </c>
      <c r="BL43" s="1">
        <f t="shared" si="47"/>
        <v>8</v>
      </c>
      <c r="BM43" s="1">
        <f>IF(COUNTIF(BL$40:BL43,BL43)&gt;1,1,0)</f>
        <v>0</v>
      </c>
      <c r="BN43" s="1">
        <f t="shared" si="48"/>
        <v>493894434</v>
      </c>
      <c r="BO43" s="1">
        <f t="shared" si="49"/>
        <v>8</v>
      </c>
      <c r="BP43" s="1">
        <f>IF(COUNTIF(BO$40:BO43,BO43)&gt;1,1,0)</f>
        <v>0</v>
      </c>
      <c r="BQ43" s="1">
        <f t="shared" si="50"/>
        <v>493894434</v>
      </c>
      <c r="BR43" s="1">
        <f t="shared" si="51"/>
        <v>8</v>
      </c>
      <c r="BS43" s="1">
        <f>IF(COUNTIF(BR$40:BR43,BR43)&gt;1,1,0)</f>
        <v>0</v>
      </c>
      <c r="BT43" s="1">
        <f t="shared" si="52"/>
        <v>493894434</v>
      </c>
      <c r="BU43" s="1">
        <f t="shared" si="53"/>
        <v>8</v>
      </c>
    </row>
    <row r="44" spans="1:73" ht="16.5">
      <c r="A44" s="3">
        <f>A43+1</f>
        <v>95</v>
      </c>
      <c r="B44" s="3" t="s">
        <v>27</v>
      </c>
      <c r="C44" s="3">
        <v>1</v>
      </c>
      <c r="D44" s="4">
        <v>0.5520833333333334</v>
      </c>
      <c r="E44" s="3" t="s">
        <v>10</v>
      </c>
      <c r="F44" s="3" t="str">
        <f>Saisondaten!$C$30</f>
        <v>KCNW Berlin</v>
      </c>
      <c r="G44" s="3" t="s">
        <v>43</v>
      </c>
      <c r="H44" s="3" t="str">
        <f>Saisondaten!$C$31</f>
        <v>KSVH Berlin</v>
      </c>
      <c r="I44" s="21">
        <v>1</v>
      </c>
      <c r="J44" s="3" t="s">
        <v>43</v>
      </c>
      <c r="K44" s="21">
        <v>6</v>
      </c>
      <c r="L44" s="180" t="str">
        <f>IF(VLOOKUP(A44,Schiedsrichter!$A$3:$I$176,8,FALSE)=0,"-",VLOOKUP(A44,Schiedsrichter!$A$3:$I$176,8,FALSE))</f>
        <v>VK Berlin</v>
      </c>
      <c r="M44" s="174" t="s">
        <v>249</v>
      </c>
      <c r="N44" s="186" t="str">
        <f>IF(VLOOKUP(A44,Schiedsrichter!$A$3:$I$176,9,FALSE)=0,"-",VLOOKUP(A44,Schiedsrichter!$A$3:$I$176,9,FALSE))</f>
        <v>KSV Glauchau</v>
      </c>
      <c r="P44" s="1">
        <f t="shared" si="6"/>
        <v>1</v>
      </c>
      <c r="Q44" s="1" t="str">
        <f t="shared" si="18"/>
        <v>KCNW Berlin</v>
      </c>
      <c r="R44" s="1">
        <f t="shared" si="7"/>
        <v>0</v>
      </c>
      <c r="S44" s="1">
        <f t="shared" si="8"/>
        <v>0</v>
      </c>
      <c r="T44" s="1">
        <f t="shared" si="9"/>
        <v>1</v>
      </c>
      <c r="U44" s="1">
        <f t="shared" si="10"/>
        <v>1</v>
      </c>
      <c r="V44" s="1">
        <f t="shared" si="11"/>
        <v>6</v>
      </c>
      <c r="W44" s="1" t="str">
        <f t="shared" si="12"/>
        <v>KSVH Berlin</v>
      </c>
      <c r="X44" s="1">
        <f t="shared" si="13"/>
        <v>1</v>
      </c>
      <c r="Y44" s="1">
        <f t="shared" si="14"/>
        <v>0</v>
      </c>
      <c r="Z44" s="1">
        <f t="shared" si="15"/>
        <v>0</v>
      </c>
      <c r="AA44" s="1">
        <f t="shared" si="16"/>
        <v>6</v>
      </c>
      <c r="AB44" s="1">
        <f t="shared" si="17"/>
        <v>1</v>
      </c>
      <c r="AD44" s="1">
        <f t="shared" si="28"/>
        <v>10</v>
      </c>
      <c r="AE44" s="1" t="str">
        <f t="shared" si="26"/>
        <v>KGW Essen</v>
      </c>
      <c r="AF44" s="1" t="str">
        <f>Saisondaten!$B$17</f>
        <v>A</v>
      </c>
      <c r="AG44" s="1">
        <f t="shared" si="27"/>
        <v>0</v>
      </c>
      <c r="AH44" s="1">
        <f t="shared" si="27"/>
        <v>2</v>
      </c>
      <c r="AI44" s="1">
        <f t="shared" si="27"/>
        <v>3</v>
      </c>
      <c r="AJ44" s="1">
        <f t="shared" si="27"/>
        <v>13</v>
      </c>
      <c r="AK44" s="1">
        <f t="shared" si="27"/>
        <v>20</v>
      </c>
      <c r="AL44" s="1">
        <f t="shared" si="29"/>
        <v>2</v>
      </c>
      <c r="AM44" s="1">
        <f t="shared" si="30"/>
        <v>193878883</v>
      </c>
      <c r="AN44" s="1">
        <f t="shared" si="31"/>
        <v>10</v>
      </c>
      <c r="AO44" s="1">
        <f>IF(COUNTIF(AN$40:AN44,AN44)&gt;1,1,0)</f>
        <v>0</v>
      </c>
      <c r="AP44" s="1">
        <f t="shared" si="32"/>
        <v>193878883</v>
      </c>
      <c r="AQ44" s="1">
        <f t="shared" si="33"/>
        <v>10</v>
      </c>
      <c r="AR44" s="1">
        <f>IF(COUNTIF(AQ$40:AQ44,AQ44)&gt;1,1,0)</f>
        <v>0</v>
      </c>
      <c r="AS44" s="1">
        <f t="shared" si="34"/>
        <v>193878883</v>
      </c>
      <c r="AT44" s="1">
        <f t="shared" si="35"/>
        <v>10</v>
      </c>
      <c r="AU44" s="1">
        <f>IF(COUNTIF(AT$40:AT44,AT44)&gt;1,1,0)</f>
        <v>0</v>
      </c>
      <c r="AV44" s="1">
        <f t="shared" si="36"/>
        <v>193878883</v>
      </c>
      <c r="AW44" s="1">
        <f t="shared" si="37"/>
        <v>10</v>
      </c>
      <c r="AX44" s="1">
        <f>IF(COUNTIF(AW$40:AW44,AW44)&gt;1,1,0)</f>
        <v>0</v>
      </c>
      <c r="AY44" s="1">
        <f t="shared" si="38"/>
        <v>193878883</v>
      </c>
      <c r="AZ44" s="1">
        <f t="shared" si="39"/>
        <v>10</v>
      </c>
      <c r="BA44" s="1">
        <f>IF(COUNTIF(AZ$40:AZ44,AZ44)&gt;1,1,0)</f>
        <v>0</v>
      </c>
      <c r="BB44" s="1">
        <f t="shared" si="40"/>
        <v>193878883</v>
      </c>
      <c r="BC44" s="1">
        <f t="shared" si="41"/>
        <v>10</v>
      </c>
      <c r="BD44" s="1">
        <f>IF(COUNTIF(BC$40:BC44,BC44)&gt;1,1,0)</f>
        <v>0</v>
      </c>
      <c r="BE44" s="1">
        <f t="shared" si="42"/>
        <v>193878883</v>
      </c>
      <c r="BF44" s="1">
        <f t="shared" si="43"/>
        <v>10</v>
      </c>
      <c r="BG44" s="1">
        <f>IF(COUNTIF(BF$40:BF44,BF44)&gt;1,1,0)</f>
        <v>0</v>
      </c>
      <c r="BH44" s="1">
        <f t="shared" si="44"/>
        <v>193878883</v>
      </c>
      <c r="BI44" s="1">
        <f t="shared" si="45"/>
        <v>10</v>
      </c>
      <c r="BJ44" s="1">
        <f>IF(COUNTIF(BI$40:BI44,BI44)&gt;1,1,0)</f>
        <v>0</v>
      </c>
      <c r="BK44" s="1">
        <f t="shared" si="46"/>
        <v>193878883</v>
      </c>
      <c r="BL44" s="1">
        <f t="shared" si="47"/>
        <v>10</v>
      </c>
      <c r="BM44" s="1">
        <f>IF(COUNTIF(BL$40:BL44,BL44)&gt;1,1,0)</f>
        <v>0</v>
      </c>
      <c r="BN44" s="1">
        <f t="shared" si="48"/>
        <v>193878883</v>
      </c>
      <c r="BO44" s="1">
        <f t="shared" si="49"/>
        <v>10</v>
      </c>
      <c r="BP44" s="1">
        <f>IF(COUNTIF(BO$40:BO44,BO44)&gt;1,1,0)</f>
        <v>0</v>
      </c>
      <c r="BQ44" s="1">
        <f t="shared" si="50"/>
        <v>193878883</v>
      </c>
      <c r="BR44" s="1">
        <f t="shared" si="51"/>
        <v>10</v>
      </c>
      <c r="BS44" s="1">
        <f>IF(COUNTIF(BR$40:BR44,BR44)&gt;1,1,0)</f>
        <v>0</v>
      </c>
      <c r="BT44" s="1">
        <f t="shared" si="52"/>
        <v>193878883</v>
      </c>
      <c r="BU44" s="1">
        <f t="shared" si="53"/>
        <v>10</v>
      </c>
    </row>
    <row r="45" spans="1:73" ht="16.5">
      <c r="A45" s="17">
        <f>A44+1</f>
        <v>96</v>
      </c>
      <c r="B45" s="17" t="s">
        <v>27</v>
      </c>
      <c r="C45" s="17">
        <v>1</v>
      </c>
      <c r="D45" s="18">
        <v>0.5833333333333334</v>
      </c>
      <c r="E45" s="17" t="s">
        <v>10</v>
      </c>
      <c r="F45" s="17" t="str">
        <f>Saisondaten!$C$28</f>
        <v>RSV Hannover</v>
      </c>
      <c r="G45" s="17" t="s">
        <v>43</v>
      </c>
      <c r="H45" s="17" t="str">
        <f>Saisondaten!$C$29</f>
        <v>ACC Hamburg</v>
      </c>
      <c r="I45" s="24">
        <v>3</v>
      </c>
      <c r="J45" s="17" t="s">
        <v>43</v>
      </c>
      <c r="K45" s="24">
        <v>1</v>
      </c>
      <c r="L45" s="183" t="str">
        <f>IF(VLOOKUP(A45,Schiedsrichter!$A$3:$I$176,8,FALSE)=0,"-",VLOOKUP(A45,Schiedsrichter!$A$3:$I$176,8,FALSE))</f>
        <v>KCNW Berlin</v>
      </c>
      <c r="M45" s="177" t="s">
        <v>249</v>
      </c>
      <c r="N45" s="189" t="str">
        <f>IF(VLOOKUP(A45,Schiedsrichter!$A$3:$I$176,9,FALSE)=0,"-",VLOOKUP(A45,Schiedsrichter!$A$3:$I$176,9,FALSE))</f>
        <v>KSVH Berlin</v>
      </c>
      <c r="P45" s="1">
        <f t="shared" si="6"/>
        <v>1</v>
      </c>
      <c r="Q45" s="1" t="str">
        <f t="shared" si="18"/>
        <v>RSV Hannover</v>
      </c>
      <c r="R45" s="1">
        <f t="shared" si="7"/>
        <v>1</v>
      </c>
      <c r="S45" s="1">
        <f t="shared" si="8"/>
        <v>0</v>
      </c>
      <c r="T45" s="1">
        <f t="shared" si="9"/>
        <v>0</v>
      </c>
      <c r="U45" s="1">
        <f t="shared" si="10"/>
        <v>3</v>
      </c>
      <c r="V45" s="1">
        <f t="shared" si="11"/>
        <v>1</v>
      </c>
      <c r="W45" s="1" t="str">
        <f t="shared" si="12"/>
        <v>ACC Hamburg</v>
      </c>
      <c r="X45" s="1">
        <f t="shared" si="13"/>
        <v>0</v>
      </c>
      <c r="Y45" s="1">
        <f t="shared" si="14"/>
        <v>0</v>
      </c>
      <c r="Z45" s="1">
        <f t="shared" si="15"/>
        <v>1</v>
      </c>
      <c r="AA45" s="1">
        <f t="shared" si="16"/>
        <v>1</v>
      </c>
      <c r="AB45" s="1">
        <f t="shared" si="17"/>
        <v>3</v>
      </c>
      <c r="AD45" s="1">
        <f t="shared" si="28"/>
        <v>11</v>
      </c>
      <c r="AE45" s="1" t="str">
        <f t="shared" si="26"/>
        <v>Göttinger PC</v>
      </c>
      <c r="AF45" s="1" t="str">
        <f>Saisondaten!$B$17</f>
        <v>A</v>
      </c>
      <c r="AG45" s="1">
        <f t="shared" si="27"/>
        <v>0</v>
      </c>
      <c r="AH45" s="1">
        <f t="shared" si="27"/>
        <v>1</v>
      </c>
      <c r="AI45" s="1">
        <f t="shared" si="27"/>
        <v>4</v>
      </c>
      <c r="AJ45" s="1">
        <f t="shared" si="27"/>
        <v>8</v>
      </c>
      <c r="AK45" s="1">
        <f t="shared" si="27"/>
        <v>25</v>
      </c>
      <c r="AL45" s="1">
        <f t="shared" si="29"/>
        <v>1</v>
      </c>
      <c r="AM45" s="1">
        <f t="shared" si="30"/>
        <v>84951119</v>
      </c>
      <c r="AN45" s="1">
        <f t="shared" si="31"/>
        <v>11</v>
      </c>
      <c r="AO45" s="1">
        <f>IF(COUNTIF(AN$40:AN45,AN45)&gt;1,1,0)</f>
        <v>0</v>
      </c>
      <c r="AP45" s="1">
        <f t="shared" si="32"/>
        <v>84951119</v>
      </c>
      <c r="AQ45" s="1">
        <f t="shared" si="33"/>
        <v>11</v>
      </c>
      <c r="AR45" s="1">
        <f>IF(COUNTIF(AQ$40:AQ45,AQ45)&gt;1,1,0)</f>
        <v>0</v>
      </c>
      <c r="AS45" s="1">
        <f t="shared" si="34"/>
        <v>84951119</v>
      </c>
      <c r="AT45" s="1">
        <f t="shared" si="35"/>
        <v>11</v>
      </c>
      <c r="AU45" s="1">
        <f>IF(COUNTIF(AT$40:AT45,AT45)&gt;1,1,0)</f>
        <v>0</v>
      </c>
      <c r="AV45" s="1">
        <f t="shared" si="36"/>
        <v>84951119</v>
      </c>
      <c r="AW45" s="1">
        <f t="shared" si="37"/>
        <v>11</v>
      </c>
      <c r="AX45" s="1">
        <f>IF(COUNTIF(AW$40:AW45,AW45)&gt;1,1,0)</f>
        <v>0</v>
      </c>
      <c r="AY45" s="1">
        <f t="shared" si="38"/>
        <v>84951119</v>
      </c>
      <c r="AZ45" s="1">
        <f t="shared" si="39"/>
        <v>11</v>
      </c>
      <c r="BA45" s="1">
        <f>IF(COUNTIF(AZ$40:AZ45,AZ45)&gt;1,1,0)</f>
        <v>0</v>
      </c>
      <c r="BB45" s="1">
        <f t="shared" si="40"/>
        <v>84951119</v>
      </c>
      <c r="BC45" s="1">
        <f t="shared" si="41"/>
        <v>11</v>
      </c>
      <c r="BD45" s="1">
        <f>IF(COUNTIF(BC$40:BC45,BC45)&gt;1,1,0)</f>
        <v>0</v>
      </c>
      <c r="BE45" s="1">
        <f t="shared" si="42"/>
        <v>84951119</v>
      </c>
      <c r="BF45" s="1">
        <f t="shared" si="43"/>
        <v>11</v>
      </c>
      <c r="BG45" s="1">
        <f>IF(COUNTIF(BF$40:BF45,BF45)&gt;1,1,0)</f>
        <v>0</v>
      </c>
      <c r="BH45" s="1">
        <f t="shared" si="44"/>
        <v>84951119</v>
      </c>
      <c r="BI45" s="1">
        <f t="shared" si="45"/>
        <v>11</v>
      </c>
      <c r="BJ45" s="1">
        <f>IF(COUNTIF(BI$40:BI45,BI45)&gt;1,1,0)</f>
        <v>0</v>
      </c>
      <c r="BK45" s="1">
        <f t="shared" si="46"/>
        <v>84951119</v>
      </c>
      <c r="BL45" s="1">
        <f t="shared" si="47"/>
        <v>11</v>
      </c>
      <c r="BM45" s="1">
        <f>IF(COUNTIF(BL$40:BL45,BL45)&gt;1,1,0)</f>
        <v>0</v>
      </c>
      <c r="BN45" s="1">
        <f t="shared" si="48"/>
        <v>84951119</v>
      </c>
      <c r="BO45" s="1">
        <f t="shared" si="49"/>
        <v>11</v>
      </c>
      <c r="BP45" s="1">
        <f>IF(COUNTIF(BO$40:BO45,BO45)&gt;1,1,0)</f>
        <v>0</v>
      </c>
      <c r="BQ45" s="1">
        <f t="shared" si="50"/>
        <v>84951119</v>
      </c>
      <c r="BR45" s="1">
        <f t="shared" si="51"/>
        <v>11</v>
      </c>
      <c r="BS45" s="1">
        <f>IF(COUNTIF(BR$40:BR45,BR45)&gt;1,1,0)</f>
        <v>0</v>
      </c>
      <c r="BT45" s="1">
        <f t="shared" si="52"/>
        <v>84951119</v>
      </c>
      <c r="BU45" s="1">
        <f t="shared" si="53"/>
        <v>11</v>
      </c>
    </row>
    <row r="46" spans="13:73" ht="16.5">
      <c r="M46" s="3"/>
      <c r="AD46" s="1">
        <f t="shared" si="28"/>
        <v>5</v>
      </c>
      <c r="AE46" s="1" t="str">
        <f t="shared" si="26"/>
        <v>ACC Hamburg</v>
      </c>
      <c r="AF46" s="1" t="str">
        <f>Saisondaten!$C$17</f>
        <v>B</v>
      </c>
      <c r="AG46" s="1">
        <f t="shared" si="27"/>
        <v>3</v>
      </c>
      <c r="AH46" s="1">
        <f t="shared" si="27"/>
        <v>1</v>
      </c>
      <c r="AI46" s="1">
        <f t="shared" si="27"/>
        <v>1</v>
      </c>
      <c r="AJ46" s="1">
        <f t="shared" si="27"/>
        <v>21</v>
      </c>
      <c r="AK46" s="1">
        <f t="shared" si="27"/>
        <v>10</v>
      </c>
      <c r="AL46" s="1">
        <f t="shared" si="29"/>
        <v>10</v>
      </c>
      <c r="AM46" s="1">
        <f t="shared" si="30"/>
        <v>1009941075</v>
      </c>
      <c r="AN46" s="1">
        <f t="shared" si="31"/>
        <v>5</v>
      </c>
      <c r="AO46" s="1">
        <f>IF(COUNTIF(AN$40:AN46,AN46)&gt;1,1,0)</f>
        <v>0</v>
      </c>
      <c r="AP46" s="1">
        <f t="shared" si="32"/>
        <v>1009941075</v>
      </c>
      <c r="AQ46" s="1">
        <f t="shared" si="33"/>
        <v>5</v>
      </c>
      <c r="AR46" s="1">
        <f>IF(COUNTIF(AQ$40:AQ46,AQ46)&gt;1,1,0)</f>
        <v>0</v>
      </c>
      <c r="AS46" s="1">
        <f t="shared" si="34"/>
        <v>1009941075</v>
      </c>
      <c r="AT46" s="1">
        <f t="shared" si="35"/>
        <v>5</v>
      </c>
      <c r="AU46" s="1">
        <f>IF(COUNTIF(AT$40:AT46,AT46)&gt;1,1,0)</f>
        <v>0</v>
      </c>
      <c r="AV46" s="1">
        <f t="shared" si="36"/>
        <v>1009941075</v>
      </c>
      <c r="AW46" s="1">
        <f t="shared" si="37"/>
        <v>5</v>
      </c>
      <c r="AX46" s="1">
        <f>IF(COUNTIF(AW$40:AW46,AW46)&gt;1,1,0)</f>
        <v>0</v>
      </c>
      <c r="AY46" s="1">
        <f t="shared" si="38"/>
        <v>1009941075</v>
      </c>
      <c r="AZ46" s="1">
        <f t="shared" si="39"/>
        <v>5</v>
      </c>
      <c r="BA46" s="1">
        <f>IF(COUNTIF(AZ$40:AZ46,AZ46)&gt;1,1,0)</f>
        <v>0</v>
      </c>
      <c r="BB46" s="1">
        <f t="shared" si="40"/>
        <v>1009941075</v>
      </c>
      <c r="BC46" s="1">
        <f t="shared" si="41"/>
        <v>5</v>
      </c>
      <c r="BD46" s="1">
        <f>IF(COUNTIF(BC$40:BC46,BC46)&gt;1,1,0)</f>
        <v>0</v>
      </c>
      <c r="BE46" s="1">
        <f t="shared" si="42"/>
        <v>1009941075</v>
      </c>
      <c r="BF46" s="1">
        <f t="shared" si="43"/>
        <v>5</v>
      </c>
      <c r="BG46" s="1">
        <f>IF(COUNTIF(BF$40:BF46,BF46)&gt;1,1,0)</f>
        <v>0</v>
      </c>
      <c r="BH46" s="1">
        <f t="shared" si="44"/>
        <v>1009941075</v>
      </c>
      <c r="BI46" s="1">
        <f t="shared" si="45"/>
        <v>5</v>
      </c>
      <c r="BJ46" s="1">
        <f>IF(COUNTIF(BI$40:BI46,BI46)&gt;1,1,0)</f>
        <v>0</v>
      </c>
      <c r="BK46" s="1">
        <f t="shared" si="46"/>
        <v>1009941075</v>
      </c>
      <c r="BL46" s="1">
        <f t="shared" si="47"/>
        <v>5</v>
      </c>
      <c r="BM46" s="1">
        <f>IF(COUNTIF(BL$40:BL46,BL46)&gt;1,1,0)</f>
        <v>0</v>
      </c>
      <c r="BN46" s="1">
        <f t="shared" si="48"/>
        <v>1009941075</v>
      </c>
      <c r="BO46" s="1">
        <f t="shared" si="49"/>
        <v>5</v>
      </c>
      <c r="BP46" s="1">
        <f>IF(COUNTIF(BO$40:BO46,BO46)&gt;1,1,0)</f>
        <v>0</v>
      </c>
      <c r="BQ46" s="1">
        <f t="shared" si="50"/>
        <v>1009941075</v>
      </c>
      <c r="BR46" s="1">
        <f t="shared" si="51"/>
        <v>5</v>
      </c>
      <c r="BS46" s="1">
        <f>IF(COUNTIF(BR$40:BR46,BR46)&gt;1,1,0)</f>
        <v>0</v>
      </c>
      <c r="BT46" s="1">
        <f t="shared" si="52"/>
        <v>1009941075</v>
      </c>
      <c r="BU46" s="1">
        <f t="shared" si="53"/>
        <v>5</v>
      </c>
    </row>
    <row r="47" spans="30:73" ht="16.5">
      <c r="AD47" s="1">
        <f t="shared" si="28"/>
        <v>7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2</v>
      </c>
      <c r="AH47" s="1">
        <f t="shared" si="27"/>
        <v>0</v>
      </c>
      <c r="AI47" s="1">
        <f t="shared" si="27"/>
        <v>3</v>
      </c>
      <c r="AJ47" s="1">
        <f t="shared" si="27"/>
        <v>17</v>
      </c>
      <c r="AK47" s="1">
        <f t="shared" si="27"/>
        <v>17</v>
      </c>
      <c r="AL47" s="1">
        <f t="shared" si="29"/>
        <v>6</v>
      </c>
      <c r="AM47" s="1">
        <f t="shared" si="30"/>
        <v>600132203</v>
      </c>
      <c r="AN47" s="1">
        <f t="shared" si="31"/>
        <v>7</v>
      </c>
      <c r="AO47" s="1">
        <f>IF(COUNTIF(AN$40:AN47,AN47)&gt;1,1,0)</f>
        <v>0</v>
      </c>
      <c r="AP47" s="1">
        <f t="shared" si="32"/>
        <v>600132203</v>
      </c>
      <c r="AQ47" s="1">
        <f t="shared" si="33"/>
        <v>7</v>
      </c>
      <c r="AR47" s="1">
        <f>IF(COUNTIF(AQ$40:AQ47,AQ47)&gt;1,1,0)</f>
        <v>0</v>
      </c>
      <c r="AS47" s="1">
        <f t="shared" si="34"/>
        <v>600132203</v>
      </c>
      <c r="AT47" s="1">
        <f t="shared" si="35"/>
        <v>7</v>
      </c>
      <c r="AU47" s="1">
        <f>IF(COUNTIF(AT$40:AT47,AT47)&gt;1,1,0)</f>
        <v>0</v>
      </c>
      <c r="AV47" s="1">
        <f t="shared" si="36"/>
        <v>600132203</v>
      </c>
      <c r="AW47" s="1">
        <f t="shared" si="37"/>
        <v>7</v>
      </c>
      <c r="AX47" s="1">
        <f>IF(COUNTIF(AW$40:AW47,AW47)&gt;1,1,0)</f>
        <v>0</v>
      </c>
      <c r="AY47" s="1">
        <f t="shared" si="38"/>
        <v>600132203</v>
      </c>
      <c r="AZ47" s="1">
        <f t="shared" si="39"/>
        <v>7</v>
      </c>
      <c r="BA47" s="1">
        <f>IF(COUNTIF(AZ$40:AZ47,AZ47)&gt;1,1,0)</f>
        <v>0</v>
      </c>
      <c r="BB47" s="1">
        <f t="shared" si="40"/>
        <v>600132203</v>
      </c>
      <c r="BC47" s="1">
        <f t="shared" si="41"/>
        <v>7</v>
      </c>
      <c r="BD47" s="1">
        <f>IF(COUNTIF(BC$40:BC47,BC47)&gt;1,1,0)</f>
        <v>0</v>
      </c>
      <c r="BE47" s="1">
        <f t="shared" si="42"/>
        <v>600132203</v>
      </c>
      <c r="BF47" s="1">
        <f t="shared" si="43"/>
        <v>7</v>
      </c>
      <c r="BG47" s="1">
        <f>IF(COUNTIF(BF$40:BF47,BF47)&gt;1,1,0)</f>
        <v>0</v>
      </c>
      <c r="BH47" s="1">
        <f t="shared" si="44"/>
        <v>600132203</v>
      </c>
      <c r="BI47" s="1">
        <f t="shared" si="45"/>
        <v>7</v>
      </c>
      <c r="BJ47" s="1">
        <f>IF(COUNTIF(BI$40:BI47,BI47)&gt;1,1,0)</f>
        <v>0</v>
      </c>
      <c r="BK47" s="1">
        <f t="shared" si="46"/>
        <v>600132203</v>
      </c>
      <c r="BL47" s="1">
        <f t="shared" si="47"/>
        <v>7</v>
      </c>
      <c r="BM47" s="1">
        <f>IF(COUNTIF(BL$40:BL47,BL47)&gt;1,1,0)</f>
        <v>0</v>
      </c>
      <c r="BN47" s="1">
        <f t="shared" si="48"/>
        <v>600132203</v>
      </c>
      <c r="BO47" s="1">
        <f t="shared" si="49"/>
        <v>7</v>
      </c>
      <c r="BP47" s="1">
        <f>IF(COUNTIF(BO$40:BO47,BO47)&gt;1,1,0)</f>
        <v>0</v>
      </c>
      <c r="BQ47" s="1">
        <f t="shared" si="50"/>
        <v>600132203</v>
      </c>
      <c r="BR47" s="1">
        <f t="shared" si="51"/>
        <v>7</v>
      </c>
      <c r="BS47" s="1">
        <f>IF(COUNTIF(BR$40:BR47,BR47)&gt;1,1,0)</f>
        <v>0</v>
      </c>
      <c r="BT47" s="1">
        <f t="shared" si="52"/>
        <v>600132203</v>
      </c>
      <c r="BU47" s="1">
        <f t="shared" si="53"/>
        <v>7</v>
      </c>
    </row>
    <row r="48" spans="30:73" ht="16.5">
      <c r="AD48" s="1">
        <f t="shared" si="28"/>
        <v>3</v>
      </c>
      <c r="AE48" s="1" t="str">
        <f t="shared" si="26"/>
        <v>RSV Hannover</v>
      </c>
      <c r="AF48" s="1" t="str">
        <f>Saisondaten!$C$17</f>
        <v>B</v>
      </c>
      <c r="AG48" s="1">
        <f t="shared" si="27"/>
        <v>4</v>
      </c>
      <c r="AH48" s="1">
        <f t="shared" si="27"/>
        <v>1</v>
      </c>
      <c r="AI48" s="1">
        <f t="shared" si="27"/>
        <v>0</v>
      </c>
      <c r="AJ48" s="1">
        <f t="shared" si="27"/>
        <v>16</v>
      </c>
      <c r="AK48" s="1">
        <f t="shared" si="27"/>
        <v>9</v>
      </c>
      <c r="AL48" s="1">
        <f t="shared" si="29"/>
        <v>13</v>
      </c>
      <c r="AM48" s="1">
        <f t="shared" si="30"/>
        <v>1306346635</v>
      </c>
      <c r="AN48" s="1">
        <f t="shared" si="31"/>
        <v>3</v>
      </c>
      <c r="AO48" s="1">
        <f>IF(COUNTIF(AN$40:AN48,AN48)&gt;1,1,0)</f>
        <v>0</v>
      </c>
      <c r="AP48" s="1">
        <f t="shared" si="32"/>
        <v>1306346635</v>
      </c>
      <c r="AQ48" s="1">
        <f t="shared" si="33"/>
        <v>3</v>
      </c>
      <c r="AR48" s="1">
        <f>IF(COUNTIF(AQ$40:AQ48,AQ48)&gt;1,1,0)</f>
        <v>0</v>
      </c>
      <c r="AS48" s="1">
        <f t="shared" si="34"/>
        <v>1306346635</v>
      </c>
      <c r="AT48" s="1">
        <f t="shared" si="35"/>
        <v>3</v>
      </c>
      <c r="AU48" s="1">
        <f>IF(COUNTIF(AT$40:AT48,AT48)&gt;1,1,0)</f>
        <v>0</v>
      </c>
      <c r="AV48" s="1">
        <f t="shared" si="36"/>
        <v>1306346635</v>
      </c>
      <c r="AW48" s="1">
        <f t="shared" si="37"/>
        <v>3</v>
      </c>
      <c r="AX48" s="1">
        <f>IF(COUNTIF(AW$40:AW48,AW48)&gt;1,1,0)</f>
        <v>0</v>
      </c>
      <c r="AY48" s="1">
        <f t="shared" si="38"/>
        <v>1306346635</v>
      </c>
      <c r="AZ48" s="1">
        <f t="shared" si="39"/>
        <v>3</v>
      </c>
      <c r="BA48" s="1">
        <f>IF(COUNTIF(AZ$40:AZ48,AZ48)&gt;1,1,0)</f>
        <v>0</v>
      </c>
      <c r="BB48" s="1">
        <f t="shared" si="40"/>
        <v>1306346635</v>
      </c>
      <c r="BC48" s="1">
        <f t="shared" si="41"/>
        <v>3</v>
      </c>
      <c r="BD48" s="1">
        <f>IF(COUNTIF(BC$40:BC48,BC48)&gt;1,1,0)</f>
        <v>0</v>
      </c>
      <c r="BE48" s="1">
        <f t="shared" si="42"/>
        <v>1306346635</v>
      </c>
      <c r="BF48" s="1">
        <f t="shared" si="43"/>
        <v>3</v>
      </c>
      <c r="BG48" s="1">
        <f>IF(COUNTIF(BF$40:BF48,BF48)&gt;1,1,0)</f>
        <v>0</v>
      </c>
      <c r="BH48" s="1">
        <f t="shared" si="44"/>
        <v>1306346635</v>
      </c>
      <c r="BI48" s="1">
        <f t="shared" si="45"/>
        <v>3</v>
      </c>
      <c r="BJ48" s="1">
        <f>IF(COUNTIF(BI$40:BI48,BI48)&gt;1,1,0)</f>
        <v>0</v>
      </c>
      <c r="BK48" s="1">
        <f t="shared" si="46"/>
        <v>1306346635</v>
      </c>
      <c r="BL48" s="1">
        <f t="shared" si="47"/>
        <v>3</v>
      </c>
      <c r="BM48" s="1">
        <f>IF(COUNTIF(BL$40:BL48,BL48)&gt;1,1,0)</f>
        <v>0</v>
      </c>
      <c r="BN48" s="1">
        <f t="shared" si="48"/>
        <v>1306346635</v>
      </c>
      <c r="BO48" s="1">
        <f t="shared" si="49"/>
        <v>3</v>
      </c>
      <c r="BP48" s="1">
        <f>IF(COUNTIF(BO$40:BO48,BO48)&gt;1,1,0)</f>
        <v>0</v>
      </c>
      <c r="BQ48" s="1">
        <f t="shared" si="50"/>
        <v>1306346635</v>
      </c>
      <c r="BR48" s="1">
        <f t="shared" si="51"/>
        <v>3</v>
      </c>
      <c r="BS48" s="1">
        <f>IF(COUNTIF(BR$40:BR48,BR48)&gt;1,1,0)</f>
        <v>0</v>
      </c>
      <c r="BT48" s="1">
        <f t="shared" si="52"/>
        <v>1306346635</v>
      </c>
      <c r="BU48" s="1">
        <f t="shared" si="53"/>
        <v>3</v>
      </c>
    </row>
    <row r="49" spans="30:73" ht="16.5">
      <c r="AD49" s="1">
        <f t="shared" si="28"/>
        <v>9</v>
      </c>
      <c r="AE49" s="1" t="str">
        <f t="shared" si="26"/>
        <v>VK Berlin</v>
      </c>
      <c r="AF49" s="1" t="str">
        <f>Saisondaten!$C$17</f>
        <v>B</v>
      </c>
      <c r="AG49" s="1">
        <f t="shared" si="27"/>
        <v>1</v>
      </c>
      <c r="AH49" s="1">
        <f t="shared" si="27"/>
        <v>0</v>
      </c>
      <c r="AI49" s="1">
        <f t="shared" si="27"/>
        <v>4</v>
      </c>
      <c r="AJ49" s="1">
        <f t="shared" si="27"/>
        <v>10</v>
      </c>
      <c r="AK49" s="1">
        <f t="shared" si="27"/>
        <v>18</v>
      </c>
      <c r="AL49" s="1">
        <f t="shared" si="29"/>
        <v>3</v>
      </c>
      <c r="AM49" s="1">
        <f t="shared" si="30"/>
        <v>292966663</v>
      </c>
      <c r="AN49" s="1">
        <f t="shared" si="31"/>
        <v>9</v>
      </c>
      <c r="AO49" s="1">
        <f>IF(COUNTIF(AN$40:AN49,AN49)&gt;1,1,0)</f>
        <v>0</v>
      </c>
      <c r="AP49" s="1">
        <f t="shared" si="32"/>
        <v>292966663</v>
      </c>
      <c r="AQ49" s="1">
        <f t="shared" si="33"/>
        <v>9</v>
      </c>
      <c r="AR49" s="1">
        <f>IF(COUNTIF(AQ$40:AQ49,AQ49)&gt;1,1,0)</f>
        <v>0</v>
      </c>
      <c r="AS49" s="1">
        <f t="shared" si="34"/>
        <v>292966663</v>
      </c>
      <c r="AT49" s="1">
        <f t="shared" si="35"/>
        <v>9</v>
      </c>
      <c r="AU49" s="1">
        <f>IF(COUNTIF(AT$40:AT49,AT49)&gt;1,1,0)</f>
        <v>0</v>
      </c>
      <c r="AV49" s="1">
        <f t="shared" si="36"/>
        <v>292966663</v>
      </c>
      <c r="AW49" s="1">
        <f t="shared" si="37"/>
        <v>9</v>
      </c>
      <c r="AX49" s="1">
        <f>IF(COUNTIF(AW$40:AW49,AW49)&gt;1,1,0)</f>
        <v>0</v>
      </c>
      <c r="AY49" s="1">
        <f t="shared" si="38"/>
        <v>292966663</v>
      </c>
      <c r="AZ49" s="1">
        <f t="shared" si="39"/>
        <v>9</v>
      </c>
      <c r="BA49" s="1">
        <f>IF(COUNTIF(AZ$40:AZ49,AZ49)&gt;1,1,0)</f>
        <v>0</v>
      </c>
      <c r="BB49" s="1">
        <f t="shared" si="40"/>
        <v>292966663</v>
      </c>
      <c r="BC49" s="1">
        <f t="shared" si="41"/>
        <v>9</v>
      </c>
      <c r="BD49" s="1">
        <f>IF(COUNTIF(BC$40:BC49,BC49)&gt;1,1,0)</f>
        <v>0</v>
      </c>
      <c r="BE49" s="1">
        <f t="shared" si="42"/>
        <v>292966663</v>
      </c>
      <c r="BF49" s="1">
        <f t="shared" si="43"/>
        <v>9</v>
      </c>
      <c r="BG49" s="1">
        <f>IF(COUNTIF(BF$40:BF49,BF49)&gt;1,1,0)</f>
        <v>0</v>
      </c>
      <c r="BH49" s="1">
        <f t="shared" si="44"/>
        <v>292966663</v>
      </c>
      <c r="BI49" s="1">
        <f t="shared" si="45"/>
        <v>9</v>
      </c>
      <c r="BJ49" s="1">
        <f>IF(COUNTIF(BI$40:BI49,BI49)&gt;1,1,0)</f>
        <v>0</v>
      </c>
      <c r="BK49" s="1">
        <f t="shared" si="46"/>
        <v>292966663</v>
      </c>
      <c r="BL49" s="1">
        <f t="shared" si="47"/>
        <v>9</v>
      </c>
      <c r="BM49" s="1">
        <f>IF(COUNTIF(BL$40:BL49,BL49)&gt;1,1,0)</f>
        <v>0</v>
      </c>
      <c r="BN49" s="1">
        <f t="shared" si="48"/>
        <v>292966663</v>
      </c>
      <c r="BO49" s="1">
        <f t="shared" si="49"/>
        <v>9</v>
      </c>
      <c r="BP49" s="1">
        <f>IF(COUNTIF(BO$40:BO49,BO49)&gt;1,1,0)</f>
        <v>0</v>
      </c>
      <c r="BQ49" s="1">
        <f t="shared" si="50"/>
        <v>292966663</v>
      </c>
      <c r="BR49" s="1">
        <f t="shared" si="51"/>
        <v>9</v>
      </c>
      <c r="BS49" s="1">
        <f>IF(COUNTIF(BR$40:BR49,BR49)&gt;1,1,0)</f>
        <v>0</v>
      </c>
      <c r="BT49" s="1">
        <f t="shared" si="52"/>
        <v>292966663</v>
      </c>
      <c r="BU49" s="1">
        <f t="shared" si="53"/>
        <v>9</v>
      </c>
    </row>
    <row r="50" spans="30:73" ht="16.5">
      <c r="AD50" s="1">
        <f t="shared" si="28"/>
        <v>12</v>
      </c>
      <c r="AE50" s="1" t="str">
        <f t="shared" si="26"/>
        <v>KSV Glauchau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5</v>
      </c>
      <c r="AJ50" s="1">
        <f t="shared" si="27"/>
        <v>8</v>
      </c>
      <c r="AK50" s="1">
        <f t="shared" si="27"/>
        <v>33</v>
      </c>
      <c r="AL50" s="1">
        <f t="shared" si="29"/>
        <v>0</v>
      </c>
      <c r="AM50" s="1">
        <f t="shared" si="30"/>
        <v>-22159984</v>
      </c>
      <c r="AN50" s="1">
        <f t="shared" si="31"/>
        <v>12</v>
      </c>
      <c r="AO50" s="1">
        <f>IF(COUNTIF(AN$40:AN50,AN50)&gt;1,1,0)</f>
        <v>0</v>
      </c>
      <c r="AP50" s="1">
        <f t="shared" si="32"/>
        <v>-22159984</v>
      </c>
      <c r="AQ50" s="1">
        <f t="shared" si="33"/>
        <v>12</v>
      </c>
      <c r="AR50" s="1">
        <f>IF(COUNTIF(AQ$40:AQ50,AQ50)&gt;1,1,0)</f>
        <v>0</v>
      </c>
      <c r="AS50" s="1">
        <f t="shared" si="34"/>
        <v>-22159984</v>
      </c>
      <c r="AT50" s="1">
        <f t="shared" si="35"/>
        <v>12</v>
      </c>
      <c r="AU50" s="1">
        <f>IF(COUNTIF(AT$40:AT50,AT50)&gt;1,1,0)</f>
        <v>0</v>
      </c>
      <c r="AV50" s="1">
        <f t="shared" si="36"/>
        <v>-22159984</v>
      </c>
      <c r="AW50" s="1">
        <f t="shared" si="37"/>
        <v>12</v>
      </c>
      <c r="AX50" s="1">
        <f>IF(COUNTIF(AW$40:AW50,AW50)&gt;1,1,0)</f>
        <v>0</v>
      </c>
      <c r="AY50" s="1">
        <f t="shared" si="38"/>
        <v>-22159984</v>
      </c>
      <c r="AZ50" s="1">
        <f t="shared" si="39"/>
        <v>12</v>
      </c>
      <c r="BA50" s="1">
        <f>IF(COUNTIF(AZ$40:AZ50,AZ50)&gt;1,1,0)</f>
        <v>0</v>
      </c>
      <c r="BB50" s="1">
        <f t="shared" si="40"/>
        <v>-22159984</v>
      </c>
      <c r="BC50" s="1">
        <f t="shared" si="41"/>
        <v>12</v>
      </c>
      <c r="BD50" s="1">
        <f>IF(COUNTIF(BC$40:BC50,BC50)&gt;1,1,0)</f>
        <v>0</v>
      </c>
      <c r="BE50" s="1">
        <f t="shared" si="42"/>
        <v>-22159984</v>
      </c>
      <c r="BF50" s="1">
        <f t="shared" si="43"/>
        <v>12</v>
      </c>
      <c r="BG50" s="1">
        <f>IF(COUNTIF(BF$40:BF50,BF50)&gt;1,1,0)</f>
        <v>0</v>
      </c>
      <c r="BH50" s="1">
        <f t="shared" si="44"/>
        <v>-22159984</v>
      </c>
      <c r="BI50" s="1">
        <f t="shared" si="45"/>
        <v>12</v>
      </c>
      <c r="BJ50" s="1">
        <f>IF(COUNTIF(BI$40:BI50,BI50)&gt;1,1,0)</f>
        <v>0</v>
      </c>
      <c r="BK50" s="1">
        <f t="shared" si="46"/>
        <v>-22159984</v>
      </c>
      <c r="BL50" s="1">
        <f t="shared" si="47"/>
        <v>12</v>
      </c>
      <c r="BM50" s="1">
        <f>IF(COUNTIF(BL$40:BL50,BL50)&gt;1,1,0)</f>
        <v>0</v>
      </c>
      <c r="BN50" s="1">
        <f t="shared" si="48"/>
        <v>-22159984</v>
      </c>
      <c r="BO50" s="1">
        <f t="shared" si="49"/>
        <v>12</v>
      </c>
      <c r="BP50" s="1">
        <f>IF(COUNTIF(BO$40:BO50,BO50)&gt;1,1,0)</f>
        <v>0</v>
      </c>
      <c r="BQ50" s="1">
        <f t="shared" si="50"/>
        <v>-22159984</v>
      </c>
      <c r="BR50" s="1">
        <f t="shared" si="51"/>
        <v>12</v>
      </c>
      <c r="BS50" s="1">
        <f>IF(COUNTIF(BR$40:BR50,BR50)&gt;1,1,0)</f>
        <v>0</v>
      </c>
      <c r="BT50" s="1">
        <f t="shared" si="52"/>
        <v>-22159984</v>
      </c>
      <c r="BU50" s="1">
        <f t="shared" si="53"/>
        <v>12</v>
      </c>
    </row>
    <row r="51" spans="30:73" ht="16.5">
      <c r="AD51" s="1">
        <f t="shared" si="28"/>
        <v>4</v>
      </c>
      <c r="AE51" s="1" t="str">
        <f t="shared" si="26"/>
        <v>KSVH Berlin</v>
      </c>
      <c r="AF51" s="1" t="str">
        <f>Saisondaten!$C$17</f>
        <v>B</v>
      </c>
      <c r="AG51" s="1">
        <f t="shared" si="27"/>
        <v>3</v>
      </c>
      <c r="AH51" s="1">
        <f t="shared" si="27"/>
        <v>2</v>
      </c>
      <c r="AI51" s="1">
        <f t="shared" si="27"/>
        <v>0</v>
      </c>
      <c r="AJ51" s="1">
        <f t="shared" si="27"/>
        <v>24</v>
      </c>
      <c r="AK51" s="1">
        <f t="shared" si="27"/>
        <v>9</v>
      </c>
      <c r="AL51" s="1">
        <f t="shared" si="29"/>
        <v>11</v>
      </c>
      <c r="AM51" s="1">
        <f t="shared" si="30"/>
        <v>1113519957</v>
      </c>
      <c r="AN51" s="1">
        <f t="shared" si="31"/>
        <v>4</v>
      </c>
      <c r="AO51" s="1">
        <f>IF(COUNTIF(AN$40:AN51,AN51)&gt;1,1,0)</f>
        <v>0</v>
      </c>
      <c r="AP51" s="1">
        <f t="shared" si="32"/>
        <v>1113519957</v>
      </c>
      <c r="AQ51" s="1">
        <f t="shared" si="33"/>
        <v>4</v>
      </c>
      <c r="AR51" s="1">
        <f>IF(COUNTIF(AQ$40:AQ51,AQ51)&gt;1,1,0)</f>
        <v>0</v>
      </c>
      <c r="AS51" s="1">
        <f t="shared" si="34"/>
        <v>1113519957</v>
      </c>
      <c r="AT51" s="1">
        <f t="shared" si="35"/>
        <v>4</v>
      </c>
      <c r="AU51" s="1">
        <f>IF(COUNTIF(AT$40:AT51,AT51)&gt;1,1,0)</f>
        <v>0</v>
      </c>
      <c r="AV51" s="1">
        <f t="shared" si="36"/>
        <v>1113519957</v>
      </c>
      <c r="AW51" s="1">
        <f t="shared" si="37"/>
        <v>4</v>
      </c>
      <c r="AX51" s="1">
        <f>IF(COUNTIF(AW$40:AW51,AW51)&gt;1,1,0)</f>
        <v>0</v>
      </c>
      <c r="AY51" s="1">
        <f t="shared" si="38"/>
        <v>1113519957</v>
      </c>
      <c r="AZ51" s="1">
        <f t="shared" si="39"/>
        <v>4</v>
      </c>
      <c r="BA51" s="1">
        <f>IF(COUNTIF(AZ$40:AZ51,AZ51)&gt;1,1,0)</f>
        <v>0</v>
      </c>
      <c r="BB51" s="1">
        <f t="shared" si="40"/>
        <v>1113519957</v>
      </c>
      <c r="BC51" s="1">
        <f t="shared" si="41"/>
        <v>4</v>
      </c>
      <c r="BD51" s="1">
        <f>IF(COUNTIF(BC$40:BC51,BC51)&gt;1,1,0)</f>
        <v>0</v>
      </c>
      <c r="BE51" s="1">
        <f t="shared" si="42"/>
        <v>1113519957</v>
      </c>
      <c r="BF51" s="1">
        <f t="shared" si="43"/>
        <v>4</v>
      </c>
      <c r="BG51" s="1">
        <f>IF(COUNTIF(BF$40:BF51,BF51)&gt;1,1,0)</f>
        <v>0</v>
      </c>
      <c r="BH51" s="1">
        <f t="shared" si="44"/>
        <v>1113519957</v>
      </c>
      <c r="BI51" s="1">
        <f t="shared" si="45"/>
        <v>4</v>
      </c>
      <c r="BJ51" s="1">
        <f>IF(COUNTIF(BI$40:BI51,BI51)&gt;1,1,0)</f>
        <v>0</v>
      </c>
      <c r="BK51" s="1">
        <f t="shared" si="46"/>
        <v>1113519957</v>
      </c>
      <c r="BL51" s="1">
        <f t="shared" si="47"/>
        <v>4</v>
      </c>
      <c r="BM51" s="1">
        <f>IF(COUNTIF(BL$40:BL51,BL51)&gt;1,1,0)</f>
        <v>0</v>
      </c>
      <c r="BN51" s="1">
        <f t="shared" si="48"/>
        <v>1113519957</v>
      </c>
      <c r="BO51" s="1">
        <f t="shared" si="49"/>
        <v>4</v>
      </c>
      <c r="BP51" s="1">
        <f>IF(COUNTIF(BO$40:BO51,BO51)&gt;1,1,0)</f>
        <v>0</v>
      </c>
      <c r="BQ51" s="1">
        <f t="shared" si="50"/>
        <v>1113519957</v>
      </c>
      <c r="BR51" s="1">
        <f t="shared" si="51"/>
        <v>4</v>
      </c>
      <c r="BS51" s="1">
        <f>IF(COUNTIF(BR$40:BR51,BR51)&gt;1,1,0)</f>
        <v>0</v>
      </c>
      <c r="BT51" s="1">
        <f t="shared" si="52"/>
        <v>1113519957</v>
      </c>
      <c r="BU51" s="1">
        <f t="shared" si="53"/>
        <v>4</v>
      </c>
    </row>
  </sheetData>
  <sheetProtection sheet="1" selectLockedCells="1"/>
  <mergeCells count="14">
    <mergeCell ref="AM39:AP39"/>
    <mergeCell ref="A39:N39"/>
    <mergeCell ref="A17:N17"/>
    <mergeCell ref="A25:N25"/>
    <mergeCell ref="A27:N27"/>
    <mergeCell ref="F28:H28"/>
    <mergeCell ref="I28:K28"/>
    <mergeCell ref="L28:N28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tabSelected="1" zoomScalePageLayoutView="0" workbookViewId="0" topLeftCell="A1">
      <selection activeCell="K7" sqref="K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6.281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11.421875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76" width="11.421875" style="1" customWidth="1"/>
    <col min="77" max="16384" width="11.421875" style="1" customWidth="1"/>
  </cols>
  <sheetData>
    <row r="1" spans="1:14" ht="38.25" customHeight="1">
      <c r="A1" s="351" t="str">
        <f>"Kanupolo Bundesliga "&amp;Saisondaten!$B$3&amp;""</f>
        <v>Kanupolo Bundesliga 2018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>
      <c r="A3" s="349" t="str">
        <f>"4. Spieltag, Gruppe A und B"&amp;" in "&amp;Saisondaten!$D$11</f>
        <v>4. Spieltag, Gruppe A und B in Brandenburg a.d. Havel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7.25">
      <c r="A5" s="347" t="str">
        <f>TEXT(Saisondaten!$B$11,"[$-F800]TTTT, MMMM TT, JJJJ")</f>
        <v>Samstag, 21. Juli 2018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36" ht="16.5">
      <c r="A6" s="46" t="s">
        <v>38</v>
      </c>
      <c r="B6" s="46"/>
      <c r="C6" s="46" t="s">
        <v>39</v>
      </c>
      <c r="D6" s="46" t="s">
        <v>40</v>
      </c>
      <c r="E6" s="46" t="s">
        <v>8</v>
      </c>
      <c r="F6" s="348" t="s">
        <v>7</v>
      </c>
      <c r="G6" s="348"/>
      <c r="H6" s="348"/>
      <c r="I6" s="348" t="s">
        <v>41</v>
      </c>
      <c r="J6" s="348"/>
      <c r="K6" s="348"/>
      <c r="L6" s="348" t="s">
        <v>26</v>
      </c>
      <c r="M6" s="348"/>
      <c r="N6" s="348"/>
      <c r="P6" s="1" t="s">
        <v>68</v>
      </c>
      <c r="Q6" s="1" t="s">
        <v>66</v>
      </c>
      <c r="R6" s="1" t="s">
        <v>54</v>
      </c>
      <c r="S6" s="1" t="s">
        <v>47</v>
      </c>
      <c r="T6" s="1" t="s">
        <v>53</v>
      </c>
      <c r="U6" s="1" t="s">
        <v>50</v>
      </c>
      <c r="V6" s="1" t="s">
        <v>23</v>
      </c>
      <c r="W6" s="1" t="s">
        <v>67</v>
      </c>
      <c r="X6" s="1" t="s">
        <v>54</v>
      </c>
      <c r="Y6" s="1" t="s">
        <v>47</v>
      </c>
      <c r="Z6" s="1" t="s">
        <v>53</v>
      </c>
      <c r="AA6" s="1" t="s">
        <v>50</v>
      </c>
      <c r="AB6" s="1" t="s">
        <v>23</v>
      </c>
      <c r="AE6" s="63" t="s">
        <v>45</v>
      </c>
      <c r="AF6" s="1" t="s">
        <v>54</v>
      </c>
      <c r="AG6" s="1" t="s">
        <v>47</v>
      </c>
      <c r="AH6" s="1" t="s">
        <v>53</v>
      </c>
      <c r="AI6" s="1" t="s">
        <v>50</v>
      </c>
      <c r="AJ6" s="1" t="s">
        <v>23</v>
      </c>
    </row>
    <row r="7" spans="1:36" ht="16.5">
      <c r="A7" s="37">
        <f>'3.Spieltag'!A45+1</f>
        <v>97</v>
      </c>
      <c r="B7" s="37" t="s">
        <v>27</v>
      </c>
      <c r="C7" s="37">
        <v>1</v>
      </c>
      <c r="D7" s="38">
        <v>0.3958333333333333</v>
      </c>
      <c r="E7" s="37" t="s">
        <v>55</v>
      </c>
      <c r="F7" s="37" t="str">
        <f>Saisondaten!$C$28</f>
        <v>RSV Hannover</v>
      </c>
      <c r="G7" s="37" t="s">
        <v>43</v>
      </c>
      <c r="H7" s="37" t="str">
        <f>Saisondaten!$B$33</f>
        <v>Göttinger PC</v>
      </c>
      <c r="I7" s="39"/>
      <c r="J7" s="37" t="s">
        <v>43</v>
      </c>
      <c r="K7" s="39"/>
      <c r="L7" s="195" t="str">
        <f>IF(VLOOKUP(A7,Schiedsrichter!$A$3:$I$176,8,FALSE)=0,"-",VLOOKUP(A7,Schiedsrichter!$A$3:$I$176,8,FALSE))</f>
        <v>WSF Liblar</v>
      </c>
      <c r="M7" s="190" t="s">
        <v>249</v>
      </c>
      <c r="N7" s="196" t="str">
        <f>IF(VLOOKUP(A7,Schiedsrichter!$A$3:$I$176,9,FALSE)=0,"-",VLOOKUP(A7,Schiedsrichter!$A$3:$I$176,9,FALSE))</f>
        <v>VK Berlin</v>
      </c>
      <c r="P7" s="1" t="str">
        <f>IF(OR(I7="",K7=""),"na",1)</f>
        <v>na</v>
      </c>
      <c r="Q7" s="1" t="str">
        <f>F7</f>
        <v>RSV Hannover</v>
      </c>
      <c r="R7" s="1">
        <f>IF($P7=1,IF($I7&gt;$K7,1,0),"")</f>
      </c>
      <c r="S7" s="1">
        <f>IF($P7=1,IF($I7=$K7,1,0),"")</f>
      </c>
      <c r="T7" s="1">
        <f>IF($P7=1,IF($I7&lt;$K7,1,0),"")</f>
      </c>
      <c r="U7" s="1">
        <f>IF($P7=1,$I7,"")</f>
      </c>
      <c r="V7" s="1">
        <f>IF($P7=1,$K7,"")</f>
      </c>
      <c r="W7" s="1" t="str">
        <f>H7</f>
        <v>Göttinger PC</v>
      </c>
      <c r="X7" s="1">
        <f>IF($P7=1,IF($I7&lt;$K7,1,0),"")</f>
      </c>
      <c r="Y7" s="1">
        <f>IF($P7=1,IF($I7=$K7,1,0),"")</f>
      </c>
      <c r="Z7" s="1">
        <f>IF($P7=1,IF($I7&gt;$K7,1,0),"")</f>
      </c>
      <c r="AA7" s="1">
        <f>IF($P7=1,$K7,"")</f>
      </c>
      <c r="AB7" s="1">
        <f>IF($P7=1,$I7,"")</f>
      </c>
      <c r="AE7" s="1" t="str">
        <f>Saisondaten!B18</f>
        <v>KRM Essen</v>
      </c>
      <c r="AF7" s="1">
        <f aca="true" t="shared" si="0" ref="AF7:AF18">SUMIF($Q$7:$Q$45,$AE7,R$7:R$45)</f>
        <v>0</v>
      </c>
      <c r="AG7" s="1">
        <f aca="true" t="shared" si="1" ref="AG7:AG18">SUMIF($Q$7:$Q$45,$AE7,S$7:S$45)</f>
        <v>0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0</v>
      </c>
      <c r="AJ7" s="1">
        <f aca="true" t="shared" si="4" ref="AJ7:AJ18">SUMIF($Q$7:$Q$45,$AE7,V$7:V$45)</f>
        <v>0</v>
      </c>
    </row>
    <row r="8" spans="1:36" ht="16.5">
      <c r="A8" s="13">
        <f>A7+1</f>
        <v>98</v>
      </c>
      <c r="B8" s="13" t="s">
        <v>27</v>
      </c>
      <c r="C8" s="13">
        <v>2</v>
      </c>
      <c r="D8" s="14">
        <v>0.3958333333333333</v>
      </c>
      <c r="E8" s="13" t="s">
        <v>55</v>
      </c>
      <c r="F8" s="13" t="str">
        <f>Saisondaten!$C$29</f>
        <v>ACC Hamburg</v>
      </c>
      <c r="G8" s="13" t="s">
        <v>43</v>
      </c>
      <c r="H8" s="13" t="str">
        <f>Saisondaten!$B$32</f>
        <v>KC Wetter</v>
      </c>
      <c r="I8" s="20"/>
      <c r="J8" s="13" t="s">
        <v>43</v>
      </c>
      <c r="K8" s="20"/>
      <c r="L8" s="179" t="str">
        <f>IF(VLOOKUP(A8,Schiedsrichter!$A$3:$I$176,8,FALSE)=0,"-",VLOOKUP(A8,Schiedsrichter!$A$3:$I$176,8,FALSE))</f>
        <v>KRM Essen</v>
      </c>
      <c r="M8" s="175" t="s">
        <v>249</v>
      </c>
      <c r="N8" s="185" t="str">
        <f>IF(VLOOKUP(A8,Schiedsrichter!$A$3:$I$176,9,FALSE)=0,"-",VLOOKUP(A8,Schiedsrichter!$A$3:$I$176,9,FALSE))</f>
        <v>KSV Glauchau</v>
      </c>
      <c r="P8" s="1" t="str">
        <f aca="true" t="shared" si="5" ref="P8:P45">IF(OR(I8="",K8=""),"na",1)</f>
        <v>na</v>
      </c>
      <c r="Q8" s="1" t="str">
        <f>F8</f>
        <v>ACC Hamburg</v>
      </c>
      <c r="R8" s="1">
        <f aca="true" t="shared" si="6" ref="R8:R45">IF($P8=1,IF($I8&gt;$K8,1,0),"")</f>
      </c>
      <c r="S8" s="1">
        <f aca="true" t="shared" si="7" ref="S8:S45">IF($P8=1,IF($I8=$K8,1,0),"")</f>
      </c>
      <c r="T8" s="1">
        <f aca="true" t="shared" si="8" ref="T8:T45">IF($P8=1,IF($I8&lt;$K8,1,0),"")</f>
      </c>
      <c r="U8" s="1">
        <f aca="true" t="shared" si="9" ref="U8:U45">IF($P8=1,$I8,"")</f>
      </c>
      <c r="V8" s="1">
        <f aca="true" t="shared" si="10" ref="V8:V45">IF($P8=1,$K8,"")</f>
      </c>
      <c r="W8" s="1" t="str">
        <f aca="true" t="shared" si="11" ref="W8:W45">H8</f>
        <v>KC Wetter</v>
      </c>
      <c r="X8" s="1">
        <f aca="true" t="shared" si="12" ref="X8:X45">IF($P8=1,IF($I8&lt;$K8,1,0),"")</f>
      </c>
      <c r="Y8" s="1">
        <f aca="true" t="shared" si="13" ref="Y8:Y45">IF($P8=1,IF($I8=$K8,1,0),"")</f>
      </c>
      <c r="Z8" s="1">
        <f aca="true" t="shared" si="14" ref="Z8:Z45">IF($P8=1,IF($I8&gt;$K8,1,0),"")</f>
      </c>
      <c r="AA8" s="1">
        <f aca="true" t="shared" si="15" ref="AA8:AA45">IF($P8=1,$K8,"")</f>
      </c>
      <c r="AB8" s="1">
        <f aca="true" t="shared" si="16" ref="AB8:AB45">IF($P8=1,$I8,"")</f>
      </c>
      <c r="AE8" s="1" t="str">
        <f>Saisondaten!B19</f>
        <v>WSF Liblar</v>
      </c>
      <c r="AF8" s="1">
        <f t="shared" si="0"/>
        <v>0</v>
      </c>
      <c r="AG8" s="1">
        <f t="shared" si="1"/>
        <v>0</v>
      </c>
      <c r="AH8" s="1">
        <f t="shared" si="2"/>
        <v>0</v>
      </c>
      <c r="AI8" s="1">
        <f t="shared" si="3"/>
        <v>0</v>
      </c>
      <c r="AJ8" s="1">
        <f t="shared" si="4"/>
        <v>0</v>
      </c>
    </row>
    <row r="9" spans="1:36" ht="16.5">
      <c r="A9" s="34">
        <f aca="true" t="shared" si="17" ref="A9:A30">A8+1</f>
        <v>99</v>
      </c>
      <c r="B9" s="34" t="s">
        <v>27</v>
      </c>
      <c r="C9" s="34">
        <v>1</v>
      </c>
      <c r="D9" s="35">
        <v>0.4270833333333333</v>
      </c>
      <c r="E9" s="34" t="s">
        <v>55</v>
      </c>
      <c r="F9" s="34" t="str">
        <f>Saisondaten!$C$30</f>
        <v>KCNW Berlin</v>
      </c>
      <c r="G9" s="34" t="s">
        <v>43</v>
      </c>
      <c r="H9" s="34" t="str">
        <f>Saisondaten!$B$31</f>
        <v>KGW Essen</v>
      </c>
      <c r="I9" s="36"/>
      <c r="J9" s="34" t="s">
        <v>43</v>
      </c>
      <c r="K9" s="36"/>
      <c r="L9" s="194" t="str">
        <f>IF(VLOOKUP(A9,Schiedsrichter!$A$3:$I$176,8,FALSE)=0,"-",VLOOKUP(A9,Schiedsrichter!$A$3:$I$176,8,FALSE))</f>
        <v>Göttinger PC</v>
      </c>
      <c r="M9" s="199" t="s">
        <v>249</v>
      </c>
      <c r="N9" s="197" t="str">
        <f>IF(VLOOKUP(A9,Schiedsrichter!$A$3:$I$176,9,FALSE)=0,"-",VLOOKUP(A9,Schiedsrichter!$A$3:$I$176,9,FALSE))</f>
        <v>RSV Hannover</v>
      </c>
      <c r="P9" s="1" t="str">
        <f t="shared" si="5"/>
        <v>na</v>
      </c>
      <c r="Q9" s="1" t="str">
        <f aca="true" t="shared" si="18" ref="Q9:Q45">F9</f>
        <v>KCNW Berlin</v>
      </c>
      <c r="R9" s="1">
        <f t="shared" si="6"/>
      </c>
      <c r="S9" s="1">
        <f t="shared" si="7"/>
      </c>
      <c r="T9" s="1">
        <f t="shared" si="8"/>
      </c>
      <c r="U9" s="1">
        <f t="shared" si="9"/>
      </c>
      <c r="V9" s="1">
        <f t="shared" si="10"/>
      </c>
      <c r="W9" s="1" t="str">
        <f t="shared" si="11"/>
        <v>KGW Essen</v>
      </c>
      <c r="X9" s="1">
        <f t="shared" si="12"/>
      </c>
      <c r="Y9" s="1">
        <f t="shared" si="13"/>
      </c>
      <c r="Z9" s="1">
        <f t="shared" si="14"/>
      </c>
      <c r="AA9" s="1">
        <f t="shared" si="15"/>
      </c>
      <c r="AB9" s="1">
        <f t="shared" si="16"/>
      </c>
      <c r="AE9" s="1" t="str">
        <f>Saisondaten!B20</f>
        <v>1. MKC Duisburg</v>
      </c>
      <c r="AF9" s="1">
        <f t="shared" si="0"/>
        <v>0</v>
      </c>
      <c r="AG9" s="1">
        <f t="shared" si="1"/>
        <v>0</v>
      </c>
      <c r="AH9" s="1">
        <f t="shared" si="2"/>
        <v>0</v>
      </c>
      <c r="AI9" s="1">
        <f t="shared" si="3"/>
        <v>0</v>
      </c>
      <c r="AJ9" s="1">
        <f t="shared" si="4"/>
        <v>0</v>
      </c>
    </row>
    <row r="10" spans="1:36" ht="16.5">
      <c r="A10" s="34">
        <f t="shared" si="17"/>
        <v>100</v>
      </c>
      <c r="B10" s="34" t="s">
        <v>27</v>
      </c>
      <c r="C10" s="34">
        <v>2</v>
      </c>
      <c r="D10" s="35">
        <v>0.4270833333333333</v>
      </c>
      <c r="E10" s="34" t="s">
        <v>55</v>
      </c>
      <c r="F10" s="34" t="str">
        <f>Saisondaten!$C$31</f>
        <v>KSVH Berlin</v>
      </c>
      <c r="G10" s="34" t="s">
        <v>43</v>
      </c>
      <c r="H10" s="34" t="str">
        <f>Saisondaten!$B$30</f>
        <v>1. MKC Duisburg</v>
      </c>
      <c r="I10" s="36"/>
      <c r="J10" s="34" t="s">
        <v>43</v>
      </c>
      <c r="K10" s="36"/>
      <c r="L10" s="194" t="str">
        <f>IF(VLOOKUP(A10,Schiedsrichter!$A$3:$I$176,8,FALSE)=0,"-",VLOOKUP(A10,Schiedsrichter!$A$3:$I$176,8,FALSE))</f>
        <v>KC Wetter</v>
      </c>
      <c r="M10" s="199" t="s">
        <v>249</v>
      </c>
      <c r="N10" s="197" t="str">
        <f>IF(VLOOKUP(A10,Schiedsrichter!$A$3:$I$176,9,FALSE)=0,"-",VLOOKUP(A10,Schiedsrichter!$A$3:$I$176,9,FALSE))</f>
        <v>ACC Hamburg</v>
      </c>
      <c r="P10" s="1" t="str">
        <f t="shared" si="5"/>
        <v>na</v>
      </c>
      <c r="Q10" s="1" t="str">
        <f t="shared" si="18"/>
        <v>KSVH Berlin</v>
      </c>
      <c r="R10" s="1">
        <f t="shared" si="6"/>
      </c>
      <c r="S10" s="1">
        <f t="shared" si="7"/>
      </c>
      <c r="T10" s="1">
        <f t="shared" si="8"/>
      </c>
      <c r="U10" s="1">
        <f t="shared" si="9"/>
      </c>
      <c r="V10" s="1">
        <f t="shared" si="10"/>
      </c>
      <c r="W10" s="1" t="str">
        <f t="shared" si="11"/>
        <v>1. MKC Duisburg</v>
      </c>
      <c r="X10" s="1">
        <f t="shared" si="12"/>
      </c>
      <c r="Y10" s="1">
        <f t="shared" si="13"/>
      </c>
      <c r="Z10" s="1">
        <f t="shared" si="14"/>
      </c>
      <c r="AA10" s="1">
        <f t="shared" si="15"/>
      </c>
      <c r="AB10" s="1">
        <f t="shared" si="16"/>
      </c>
      <c r="AE10" s="1" t="str">
        <f>Saisondaten!B21</f>
        <v>KC Wetter</v>
      </c>
      <c r="AF10" s="1">
        <f t="shared" si="0"/>
        <v>0</v>
      </c>
      <c r="AG10" s="1">
        <f t="shared" si="1"/>
        <v>0</v>
      </c>
      <c r="AH10" s="1">
        <f t="shared" si="2"/>
        <v>0</v>
      </c>
      <c r="AI10" s="1">
        <f t="shared" si="3"/>
        <v>0</v>
      </c>
      <c r="AJ10" s="1">
        <f t="shared" si="4"/>
        <v>0</v>
      </c>
    </row>
    <row r="11" spans="1:36" ht="16.5">
      <c r="A11" s="13">
        <f t="shared" si="17"/>
        <v>101</v>
      </c>
      <c r="B11" s="13" t="s">
        <v>27</v>
      </c>
      <c r="C11" s="13">
        <v>1</v>
      </c>
      <c r="D11" s="14">
        <v>0.4583333333333333</v>
      </c>
      <c r="E11" s="13" t="s">
        <v>55</v>
      </c>
      <c r="F11" s="13" t="str">
        <f>Saisondaten!$C$32</f>
        <v>VK Berlin</v>
      </c>
      <c r="G11" s="13" t="s">
        <v>43</v>
      </c>
      <c r="H11" s="13" t="str">
        <f>Saisondaten!$B$29</f>
        <v>WSF Liblar</v>
      </c>
      <c r="I11" s="20"/>
      <c r="J11" s="13" t="s">
        <v>43</v>
      </c>
      <c r="K11" s="20"/>
      <c r="L11" s="179" t="str">
        <f>IF(VLOOKUP(A11,Schiedsrichter!$A$3:$I$176,8,FALSE)=0,"-",VLOOKUP(A11,Schiedsrichter!$A$3:$I$176,8,FALSE))</f>
        <v>KGW Essen</v>
      </c>
      <c r="M11" s="175" t="s">
        <v>249</v>
      </c>
      <c r="N11" s="185" t="str">
        <f>IF(VLOOKUP(A11,Schiedsrichter!$A$3:$I$176,9,FALSE)=0,"-",VLOOKUP(A11,Schiedsrichter!$A$3:$I$176,9,FALSE))</f>
        <v>KCNW Berlin</v>
      </c>
      <c r="P11" s="1" t="str">
        <f t="shared" si="5"/>
        <v>na</v>
      </c>
      <c r="Q11" s="1" t="str">
        <f t="shared" si="18"/>
        <v>VK Berlin</v>
      </c>
      <c r="R11" s="1">
        <f t="shared" si="6"/>
      </c>
      <c r="S11" s="1">
        <f t="shared" si="7"/>
      </c>
      <c r="T11" s="1">
        <f t="shared" si="8"/>
      </c>
      <c r="U11" s="1">
        <f t="shared" si="9"/>
      </c>
      <c r="V11" s="1">
        <f t="shared" si="10"/>
      </c>
      <c r="W11" s="1" t="str">
        <f t="shared" si="11"/>
        <v>WSF Liblar</v>
      </c>
      <c r="X11" s="1">
        <f t="shared" si="12"/>
      </c>
      <c r="Y11" s="1">
        <f t="shared" si="13"/>
      </c>
      <c r="Z11" s="1">
        <f t="shared" si="14"/>
      </c>
      <c r="AA11" s="1">
        <f t="shared" si="15"/>
      </c>
      <c r="AB11" s="1">
        <f t="shared" si="16"/>
      </c>
      <c r="AE11" s="1" t="str">
        <f>Saisondaten!B22</f>
        <v>KGW Essen</v>
      </c>
      <c r="AF11" s="1">
        <f t="shared" si="0"/>
        <v>0</v>
      </c>
      <c r="AG11" s="1">
        <f t="shared" si="1"/>
        <v>0</v>
      </c>
      <c r="AH11" s="1">
        <f t="shared" si="2"/>
        <v>0</v>
      </c>
      <c r="AI11" s="1">
        <f t="shared" si="3"/>
        <v>0</v>
      </c>
      <c r="AJ11" s="1">
        <f t="shared" si="4"/>
        <v>0</v>
      </c>
    </row>
    <row r="12" spans="1:36" ht="16.5">
      <c r="A12" s="13">
        <f t="shared" si="17"/>
        <v>102</v>
      </c>
      <c r="B12" s="13" t="s">
        <v>27</v>
      </c>
      <c r="C12" s="13">
        <v>2</v>
      </c>
      <c r="D12" s="14">
        <v>0.4583333333333333</v>
      </c>
      <c r="E12" s="13" t="s">
        <v>55</v>
      </c>
      <c r="F12" s="13" t="str">
        <f>Saisondaten!$C$33</f>
        <v>KSV Glauchau</v>
      </c>
      <c r="G12" s="13" t="s">
        <v>43</v>
      </c>
      <c r="H12" s="13" t="str">
        <f>Saisondaten!$B$28</f>
        <v>KRM Essen</v>
      </c>
      <c r="I12" s="20"/>
      <c r="J12" s="13" t="s">
        <v>43</v>
      </c>
      <c r="K12" s="20"/>
      <c r="L12" s="179" t="str">
        <f>IF(VLOOKUP(A12,Schiedsrichter!$A$3:$I$176,8,FALSE)=0,"-",VLOOKUP(A12,Schiedsrichter!$A$3:$I$176,8,FALSE))</f>
        <v>1. MKC Duisburg</v>
      </c>
      <c r="M12" s="175" t="s">
        <v>249</v>
      </c>
      <c r="N12" s="185" t="str">
        <f>IF(VLOOKUP(A12,Schiedsrichter!$A$3:$I$176,9,FALSE)=0,"-",VLOOKUP(A12,Schiedsrichter!$A$3:$I$176,9,FALSE))</f>
        <v>KSVH Berlin</v>
      </c>
      <c r="P12" s="1" t="str">
        <f t="shared" si="5"/>
        <v>na</v>
      </c>
      <c r="Q12" s="1" t="str">
        <f t="shared" si="18"/>
        <v>KSV Glauchau</v>
      </c>
      <c r="R12" s="1">
        <f t="shared" si="6"/>
      </c>
      <c r="S12" s="1">
        <f t="shared" si="7"/>
      </c>
      <c r="T12" s="1">
        <f t="shared" si="8"/>
      </c>
      <c r="U12" s="1">
        <f t="shared" si="9"/>
      </c>
      <c r="V12" s="1">
        <f t="shared" si="10"/>
      </c>
      <c r="W12" s="1" t="str">
        <f t="shared" si="11"/>
        <v>KRM Essen</v>
      </c>
      <c r="X12" s="1">
        <f t="shared" si="12"/>
      </c>
      <c r="Y12" s="1">
        <f t="shared" si="13"/>
      </c>
      <c r="Z12" s="1">
        <f t="shared" si="14"/>
      </c>
      <c r="AA12" s="1">
        <f t="shared" si="15"/>
      </c>
      <c r="AB12" s="1">
        <f t="shared" si="16"/>
      </c>
      <c r="AE12" s="1" t="str">
        <f>Saisondaten!B23</f>
        <v>Göttinger PC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4">
        <f t="shared" si="17"/>
        <v>103</v>
      </c>
      <c r="B13" s="34" t="s">
        <v>27</v>
      </c>
      <c r="C13" s="34">
        <v>1</v>
      </c>
      <c r="D13" s="35">
        <v>0.4895833333333333</v>
      </c>
      <c r="E13" s="34" t="s">
        <v>55</v>
      </c>
      <c r="F13" s="34" t="str">
        <f>Saisondaten!$C$28</f>
        <v>RSV Hannover</v>
      </c>
      <c r="G13" s="34" t="s">
        <v>43</v>
      </c>
      <c r="H13" s="34" t="str">
        <f>Saisondaten!$B$32</f>
        <v>KC Wetter</v>
      </c>
      <c r="I13" s="36"/>
      <c r="J13" s="34" t="s">
        <v>43</v>
      </c>
      <c r="K13" s="36"/>
      <c r="L13" s="194" t="str">
        <f>IF(VLOOKUP(A13,Schiedsrichter!$A$3:$I$176,8,FALSE)=0,"-",VLOOKUP(A13,Schiedsrichter!$A$3:$I$176,8,FALSE))</f>
        <v>KSV Glauchau</v>
      </c>
      <c r="M13" s="199" t="s">
        <v>249</v>
      </c>
      <c r="N13" s="197" t="str">
        <f>IF(VLOOKUP(A13,Schiedsrichter!$A$3:$I$176,9,FALSE)=0,"-",VLOOKUP(A13,Schiedsrichter!$A$3:$I$176,9,FALSE))</f>
        <v>WSF Liblar</v>
      </c>
      <c r="P13" s="1" t="str">
        <f t="shared" si="5"/>
        <v>na</v>
      </c>
      <c r="Q13" s="1" t="str">
        <f t="shared" si="18"/>
        <v>RSV Hannover</v>
      </c>
      <c r="R13" s="1">
        <f t="shared" si="6"/>
      </c>
      <c r="S13" s="1">
        <f t="shared" si="7"/>
      </c>
      <c r="T13" s="1">
        <f t="shared" si="8"/>
      </c>
      <c r="U13" s="1">
        <f t="shared" si="9"/>
      </c>
      <c r="V13" s="1">
        <f t="shared" si="10"/>
      </c>
      <c r="W13" s="1" t="str">
        <f t="shared" si="11"/>
        <v>KC Wetter</v>
      </c>
      <c r="X13" s="1">
        <f t="shared" si="12"/>
      </c>
      <c r="Y13" s="1">
        <f t="shared" si="13"/>
      </c>
      <c r="Z13" s="1">
        <f t="shared" si="14"/>
      </c>
      <c r="AA13" s="1">
        <f t="shared" si="15"/>
      </c>
      <c r="AB13" s="1">
        <f t="shared" si="16"/>
      </c>
      <c r="AE13" s="1" t="str">
        <f>Saisondaten!C18</f>
        <v>ACC Hamburg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f t="shared" si="3"/>
        <v>0</v>
      </c>
      <c r="AJ13" s="1">
        <f t="shared" si="4"/>
        <v>0</v>
      </c>
    </row>
    <row r="14" spans="1:36" ht="16.5">
      <c r="A14" s="34">
        <f t="shared" si="17"/>
        <v>104</v>
      </c>
      <c r="B14" s="34" t="s">
        <v>27</v>
      </c>
      <c r="C14" s="34">
        <v>2</v>
      </c>
      <c r="D14" s="35">
        <v>0.4895833333333333</v>
      </c>
      <c r="E14" s="34" t="s">
        <v>55</v>
      </c>
      <c r="F14" s="34" t="str">
        <f>Saisondaten!$C$29</f>
        <v>ACC Hamburg</v>
      </c>
      <c r="G14" s="34" t="s">
        <v>43</v>
      </c>
      <c r="H14" s="34" t="str">
        <f>Saisondaten!$B$33</f>
        <v>Göttinger PC</v>
      </c>
      <c r="I14" s="36"/>
      <c r="J14" s="34" t="s">
        <v>43</v>
      </c>
      <c r="K14" s="36"/>
      <c r="L14" s="194" t="str">
        <f>IF(VLOOKUP(A14,Schiedsrichter!$A$3:$I$176,8,FALSE)=0,"-",VLOOKUP(A14,Schiedsrichter!$A$3:$I$176,8,FALSE))</f>
        <v>VK Berlin</v>
      </c>
      <c r="M14" s="199" t="s">
        <v>249</v>
      </c>
      <c r="N14" s="197" t="str">
        <f>IF(VLOOKUP(A14,Schiedsrichter!$A$3:$I$176,9,FALSE)=0,"-",VLOOKUP(A14,Schiedsrichter!$A$3:$I$176,9,FALSE))</f>
        <v>KRM Essen</v>
      </c>
      <c r="P14" s="1" t="str">
        <f t="shared" si="5"/>
        <v>na</v>
      </c>
      <c r="Q14" s="1" t="str">
        <f t="shared" si="18"/>
        <v>ACC Hamburg</v>
      </c>
      <c r="R14" s="1">
        <f t="shared" si="6"/>
      </c>
      <c r="S14" s="1">
        <f t="shared" si="7"/>
      </c>
      <c r="T14" s="1">
        <f t="shared" si="8"/>
      </c>
      <c r="U14" s="1">
        <f t="shared" si="9"/>
      </c>
      <c r="V14" s="1">
        <f t="shared" si="10"/>
      </c>
      <c r="W14" s="1" t="str">
        <f t="shared" si="11"/>
        <v>Göttinger PC</v>
      </c>
      <c r="X14" s="1">
        <f t="shared" si="12"/>
      </c>
      <c r="Y14" s="1">
        <f t="shared" si="13"/>
      </c>
      <c r="Z14" s="1">
        <f t="shared" si="14"/>
      </c>
      <c r="AA14" s="1">
        <f t="shared" si="15"/>
      </c>
      <c r="AB14" s="1">
        <f t="shared" si="16"/>
      </c>
      <c r="AE14" s="1" t="str">
        <f>Saisondaten!C19</f>
        <v>KCNW Berlin</v>
      </c>
      <c r="AF14" s="1">
        <f t="shared" si="0"/>
        <v>0</v>
      </c>
      <c r="AG14" s="1">
        <f t="shared" si="1"/>
        <v>0</v>
      </c>
      <c r="AH14" s="1">
        <f t="shared" si="2"/>
        <v>0</v>
      </c>
      <c r="AI14" s="1">
        <f t="shared" si="3"/>
        <v>0</v>
      </c>
      <c r="AJ14" s="1">
        <f t="shared" si="4"/>
        <v>0</v>
      </c>
    </row>
    <row r="15" spans="1:36" ht="16.5">
      <c r="A15" s="13">
        <f t="shared" si="17"/>
        <v>105</v>
      </c>
      <c r="B15" s="13" t="s">
        <v>27</v>
      </c>
      <c r="C15" s="13">
        <v>1</v>
      </c>
      <c r="D15" s="14">
        <v>0.5208333333333333</v>
      </c>
      <c r="E15" s="13" t="s">
        <v>55</v>
      </c>
      <c r="F15" s="13" t="str">
        <f>Saisondaten!$C$30</f>
        <v>KCNW Berlin</v>
      </c>
      <c r="G15" s="13" t="s">
        <v>43</v>
      </c>
      <c r="H15" s="13" t="str">
        <f>Saisondaten!$B$30</f>
        <v>1. MKC Duisburg</v>
      </c>
      <c r="I15" s="20"/>
      <c r="J15" s="13" t="s">
        <v>43</v>
      </c>
      <c r="K15" s="20"/>
      <c r="L15" s="179" t="str">
        <f>IF(VLOOKUP(A15,Schiedsrichter!$A$3:$I$176,8,FALSE)=0,"-",VLOOKUP(A15,Schiedsrichter!$A$3:$I$176,8,FALSE))</f>
        <v>ACC Hamburg</v>
      </c>
      <c r="M15" s="175" t="s">
        <v>249</v>
      </c>
      <c r="N15" s="185" t="str">
        <f>IF(VLOOKUP(A15,Schiedsrichter!$A$3:$I$176,9,FALSE)=0,"-",VLOOKUP(A15,Schiedsrichter!$A$3:$I$176,9,FALSE))</f>
        <v>KRM Essen</v>
      </c>
      <c r="P15" s="1" t="str">
        <f t="shared" si="5"/>
        <v>na</v>
      </c>
      <c r="Q15" s="1" t="str">
        <f t="shared" si="18"/>
        <v>KCNW Berlin</v>
      </c>
      <c r="R15" s="1">
        <f t="shared" si="6"/>
      </c>
      <c r="S15" s="1">
        <f t="shared" si="7"/>
      </c>
      <c r="T15" s="1">
        <f t="shared" si="8"/>
      </c>
      <c r="U15" s="1">
        <f t="shared" si="9"/>
      </c>
      <c r="V15" s="1">
        <f t="shared" si="10"/>
      </c>
      <c r="W15" s="1" t="str">
        <f t="shared" si="11"/>
        <v>1. MKC Duisburg</v>
      </c>
      <c r="X15" s="1">
        <f t="shared" si="12"/>
      </c>
      <c r="Y15" s="1">
        <f t="shared" si="13"/>
      </c>
      <c r="Z15" s="1">
        <f t="shared" si="14"/>
      </c>
      <c r="AA15" s="1">
        <f t="shared" si="15"/>
      </c>
      <c r="AB15" s="1">
        <f t="shared" si="16"/>
      </c>
      <c r="AE15" s="1" t="str">
        <f>Saisondaten!C20</f>
        <v>RSV Hannover</v>
      </c>
      <c r="AF15" s="1">
        <f t="shared" si="0"/>
        <v>0</v>
      </c>
      <c r="AG15" s="1">
        <f t="shared" si="1"/>
        <v>0</v>
      </c>
      <c r="AH15" s="1">
        <f t="shared" si="2"/>
        <v>0</v>
      </c>
      <c r="AI15" s="1">
        <f t="shared" si="3"/>
        <v>0</v>
      </c>
      <c r="AJ15" s="1">
        <f t="shared" si="4"/>
        <v>0</v>
      </c>
    </row>
    <row r="16" spans="1:36" ht="16.5">
      <c r="A16" s="13">
        <f t="shared" si="17"/>
        <v>106</v>
      </c>
      <c r="B16" s="13" t="s">
        <v>27</v>
      </c>
      <c r="C16" s="13">
        <v>2</v>
      </c>
      <c r="D16" s="14">
        <v>0.5208333333333333</v>
      </c>
      <c r="E16" s="13" t="s">
        <v>55</v>
      </c>
      <c r="F16" s="13" t="str">
        <f>Saisondaten!$C$31</f>
        <v>KSVH Berlin</v>
      </c>
      <c r="G16" s="13" t="s">
        <v>43</v>
      </c>
      <c r="H16" s="13" t="str">
        <f>Saisondaten!$B$31</f>
        <v>KGW Essen</v>
      </c>
      <c r="I16" s="20"/>
      <c r="J16" s="13" t="s">
        <v>43</v>
      </c>
      <c r="K16" s="20"/>
      <c r="L16" s="179" t="str">
        <f>IF(VLOOKUP(A16,Schiedsrichter!$A$3:$I$176,8,FALSE)=0,"-",VLOOKUP(A16,Schiedsrichter!$A$3:$I$176,8,FALSE))</f>
        <v>RSV Hannover</v>
      </c>
      <c r="M16" s="175" t="s">
        <v>249</v>
      </c>
      <c r="N16" s="185" t="str">
        <f>IF(VLOOKUP(A16,Schiedsrichter!$A$3:$I$176,9,FALSE)=0,"-",VLOOKUP(A16,Schiedsrichter!$A$3:$I$176,9,FALSE))</f>
        <v>WSF Liblar</v>
      </c>
      <c r="P16" s="1" t="str">
        <f t="shared" si="5"/>
        <v>na</v>
      </c>
      <c r="Q16" s="1" t="str">
        <f t="shared" si="18"/>
        <v>KSVH Berlin</v>
      </c>
      <c r="R16" s="1">
        <f t="shared" si="6"/>
      </c>
      <c r="S16" s="1">
        <f t="shared" si="7"/>
      </c>
      <c r="T16" s="1">
        <f t="shared" si="8"/>
      </c>
      <c r="U16" s="1">
        <f t="shared" si="9"/>
      </c>
      <c r="V16" s="1">
        <f t="shared" si="10"/>
      </c>
      <c r="W16" s="1" t="str">
        <f t="shared" si="11"/>
        <v>KGW Essen</v>
      </c>
      <c r="X16" s="1">
        <f t="shared" si="12"/>
      </c>
      <c r="Y16" s="1">
        <f t="shared" si="13"/>
      </c>
      <c r="Z16" s="1">
        <f t="shared" si="14"/>
      </c>
      <c r="AA16" s="1">
        <f t="shared" si="15"/>
      </c>
      <c r="AB16" s="1">
        <f t="shared" si="16"/>
      </c>
      <c r="AE16" s="1" t="str">
        <f>Saisondaten!C21</f>
        <v>VK Berlin</v>
      </c>
      <c r="AF16" s="1">
        <f t="shared" si="0"/>
        <v>0</v>
      </c>
      <c r="AG16" s="1">
        <f t="shared" si="1"/>
        <v>0</v>
      </c>
      <c r="AH16" s="1">
        <f t="shared" si="2"/>
        <v>0</v>
      </c>
      <c r="AI16" s="1">
        <f t="shared" si="3"/>
        <v>0</v>
      </c>
      <c r="AJ16" s="1">
        <f t="shared" si="4"/>
        <v>0</v>
      </c>
    </row>
    <row r="17" spans="1:36" ht="16.5">
      <c r="A17" s="34">
        <f t="shared" si="17"/>
        <v>107</v>
      </c>
      <c r="B17" s="34" t="s">
        <v>27</v>
      </c>
      <c r="C17" s="34">
        <v>1</v>
      </c>
      <c r="D17" s="35">
        <v>0.5625</v>
      </c>
      <c r="E17" s="34" t="s">
        <v>55</v>
      </c>
      <c r="F17" s="34" t="str">
        <f>Saisondaten!$C$32</f>
        <v>VK Berlin</v>
      </c>
      <c r="G17" s="34" t="s">
        <v>43</v>
      </c>
      <c r="H17" s="34" t="str">
        <f>Saisondaten!$B$28</f>
        <v>KRM Essen</v>
      </c>
      <c r="I17" s="36"/>
      <c r="J17" s="34" t="s">
        <v>43</v>
      </c>
      <c r="K17" s="36"/>
      <c r="L17" s="194" t="str">
        <f>IF(VLOOKUP(A17,Schiedsrichter!$A$3:$I$176,8,FALSE)=0,"-",VLOOKUP(A17,Schiedsrichter!$A$3:$I$176,8,FALSE))</f>
        <v>KSVH Berlin</v>
      </c>
      <c r="M17" s="199" t="s">
        <v>249</v>
      </c>
      <c r="N17" s="197" t="str">
        <f>IF(VLOOKUP(A17,Schiedsrichter!$A$3:$I$176,9,FALSE)=0,"-",VLOOKUP(A17,Schiedsrichter!$A$3:$I$176,9,FALSE))</f>
        <v>Göttinger PC</v>
      </c>
      <c r="P17" s="1" t="str">
        <f t="shared" si="5"/>
        <v>na</v>
      </c>
      <c r="Q17" s="1" t="str">
        <f t="shared" si="18"/>
        <v>VK Berlin</v>
      </c>
      <c r="R17" s="1">
        <f t="shared" si="6"/>
      </c>
      <c r="S17" s="1">
        <f t="shared" si="7"/>
      </c>
      <c r="T17" s="1">
        <f t="shared" si="8"/>
      </c>
      <c r="U17" s="1">
        <f t="shared" si="9"/>
      </c>
      <c r="V17" s="1">
        <f t="shared" si="10"/>
      </c>
      <c r="W17" s="1" t="str">
        <f t="shared" si="11"/>
        <v>KRM Essen</v>
      </c>
      <c r="X17" s="1">
        <f t="shared" si="12"/>
      </c>
      <c r="Y17" s="1">
        <f t="shared" si="13"/>
      </c>
      <c r="Z17" s="1">
        <f t="shared" si="14"/>
      </c>
      <c r="AA17" s="1">
        <f t="shared" si="15"/>
      </c>
      <c r="AB17" s="1">
        <f t="shared" si="16"/>
      </c>
      <c r="AE17" s="1" t="str">
        <f>Saisondaten!C22</f>
        <v>KSV Glauchau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34">
        <f t="shared" si="17"/>
        <v>108</v>
      </c>
      <c r="B18" s="34" t="s">
        <v>27</v>
      </c>
      <c r="C18" s="34">
        <v>2</v>
      </c>
      <c r="D18" s="35">
        <v>0.5625</v>
      </c>
      <c r="E18" s="34" t="s">
        <v>55</v>
      </c>
      <c r="F18" s="34" t="str">
        <f>Saisondaten!$C$33</f>
        <v>KSV Glauchau</v>
      </c>
      <c r="G18" s="34" t="s">
        <v>43</v>
      </c>
      <c r="H18" s="34" t="str">
        <f>Saisondaten!$B$29</f>
        <v>WSF Liblar</v>
      </c>
      <c r="I18" s="36"/>
      <c r="J18" s="34" t="s">
        <v>43</v>
      </c>
      <c r="K18" s="36"/>
      <c r="L18" s="194" t="str">
        <f>IF(VLOOKUP(A18,Schiedsrichter!$A$3:$I$176,8,FALSE)=0,"-",VLOOKUP(A18,Schiedsrichter!$A$3:$I$176,8,FALSE))</f>
        <v>KCNW Berlin</v>
      </c>
      <c r="M18" s="199" t="s">
        <v>249</v>
      </c>
      <c r="N18" s="197" t="str">
        <f>IF(VLOOKUP(A18,Schiedsrichter!$A$3:$I$176,9,FALSE)=0,"-",VLOOKUP(A18,Schiedsrichter!$A$3:$I$176,9,FALSE))</f>
        <v>KC Wetter</v>
      </c>
      <c r="P18" s="1" t="str">
        <f t="shared" si="5"/>
        <v>na</v>
      </c>
      <c r="Q18" s="1" t="str">
        <f t="shared" si="18"/>
        <v>KSV Glauchau</v>
      </c>
      <c r="R18" s="1">
        <f t="shared" si="6"/>
      </c>
      <c r="S18" s="1">
        <f t="shared" si="7"/>
      </c>
      <c r="T18" s="1">
        <f t="shared" si="8"/>
      </c>
      <c r="U18" s="1">
        <f t="shared" si="9"/>
      </c>
      <c r="V18" s="1">
        <f t="shared" si="10"/>
      </c>
      <c r="W18" s="1" t="str">
        <f t="shared" si="11"/>
        <v>WSF Liblar</v>
      </c>
      <c r="X18" s="1">
        <f t="shared" si="12"/>
      </c>
      <c r="Y18" s="1">
        <f t="shared" si="13"/>
      </c>
      <c r="Z18" s="1">
        <f t="shared" si="14"/>
      </c>
      <c r="AA18" s="1">
        <f t="shared" si="15"/>
      </c>
      <c r="AB18" s="1">
        <f t="shared" si="16"/>
      </c>
      <c r="AE18" s="1" t="str">
        <f>Saisondaten!C23</f>
        <v>KSVH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3">
        <f t="shared" si="17"/>
        <v>109</v>
      </c>
      <c r="B19" s="13" t="s">
        <v>27</v>
      </c>
      <c r="C19" s="13">
        <v>1</v>
      </c>
      <c r="D19" s="14">
        <v>0.6041666666666666</v>
      </c>
      <c r="E19" s="13" t="s">
        <v>55</v>
      </c>
      <c r="F19" s="13" t="str">
        <f>Saisondaten!$C$28</f>
        <v>RSV Hannover</v>
      </c>
      <c r="G19" s="13" t="s">
        <v>43</v>
      </c>
      <c r="H19" s="13" t="str">
        <f>Saisondaten!$B$31</f>
        <v>KGW Essen</v>
      </c>
      <c r="I19" s="20"/>
      <c r="J19" s="13" t="s">
        <v>43</v>
      </c>
      <c r="K19" s="20"/>
      <c r="L19" s="179" t="str">
        <f>IF(VLOOKUP(A19,Schiedsrichter!$A$3:$I$176,8,FALSE)=0,"-",VLOOKUP(A19,Schiedsrichter!$A$3:$I$176,8,FALSE))</f>
        <v>Göttinger PC</v>
      </c>
      <c r="M19" s="175" t="s">
        <v>249</v>
      </c>
      <c r="N19" s="185" t="str">
        <f>IF(VLOOKUP(A19,Schiedsrichter!$A$3:$I$176,9,FALSE)=0,"-",VLOOKUP(A19,Schiedsrichter!$A$3:$I$176,9,FALSE))</f>
        <v>KSV Glauchau</v>
      </c>
      <c r="P19" s="1" t="str">
        <f t="shared" si="5"/>
        <v>na</v>
      </c>
      <c r="Q19" s="1" t="str">
        <f t="shared" si="18"/>
        <v>RSV Hannover</v>
      </c>
      <c r="R19" s="1">
        <f t="shared" si="6"/>
      </c>
      <c r="S19" s="1">
        <f t="shared" si="7"/>
      </c>
      <c r="T19" s="1">
        <f t="shared" si="8"/>
      </c>
      <c r="U19" s="1">
        <f t="shared" si="9"/>
      </c>
      <c r="V19" s="1">
        <f t="shared" si="10"/>
      </c>
      <c r="W19" s="1" t="str">
        <f t="shared" si="11"/>
        <v>KGW Essen</v>
      </c>
      <c r="X19" s="1">
        <f t="shared" si="12"/>
      </c>
      <c r="Y19" s="1">
        <f t="shared" si="13"/>
      </c>
      <c r="Z19" s="1">
        <f t="shared" si="14"/>
      </c>
      <c r="AA19" s="1">
        <f t="shared" si="15"/>
      </c>
      <c r="AB19" s="1">
        <f t="shared" si="16"/>
      </c>
    </row>
    <row r="20" spans="1:28" ht="16.5">
      <c r="A20" s="13">
        <f t="shared" si="17"/>
        <v>110</v>
      </c>
      <c r="B20" s="13" t="s">
        <v>27</v>
      </c>
      <c r="C20" s="13">
        <v>2</v>
      </c>
      <c r="D20" s="14">
        <v>0.6041666666666666</v>
      </c>
      <c r="E20" s="13" t="s">
        <v>55</v>
      </c>
      <c r="F20" s="13" t="str">
        <f>Saisondaten!$C$29</f>
        <v>ACC Hamburg</v>
      </c>
      <c r="G20" s="13" t="s">
        <v>43</v>
      </c>
      <c r="H20" s="13" t="str">
        <f>Saisondaten!$B$30</f>
        <v>1. MKC Duisburg</v>
      </c>
      <c r="I20" s="20"/>
      <c r="J20" s="13" t="s">
        <v>43</v>
      </c>
      <c r="K20" s="20"/>
      <c r="L20" s="179" t="str">
        <f>IF(VLOOKUP(A20,Schiedsrichter!$A$3:$I$176,8,FALSE)=0,"-",VLOOKUP(A20,Schiedsrichter!$A$3:$I$176,8,FALSE))</f>
        <v>KC Wetter</v>
      </c>
      <c r="M20" s="175" t="s">
        <v>249</v>
      </c>
      <c r="N20" s="185" t="str">
        <f>IF(VLOOKUP(A20,Schiedsrichter!$A$3:$I$176,9,FALSE)=0,"-",VLOOKUP(A20,Schiedsrichter!$A$3:$I$176,9,FALSE))</f>
        <v>VK Berlin</v>
      </c>
      <c r="P20" s="1" t="str">
        <f t="shared" si="5"/>
        <v>na</v>
      </c>
      <c r="Q20" s="1" t="str">
        <f t="shared" si="18"/>
        <v>ACC Hamburg</v>
      </c>
      <c r="R20" s="1">
        <f t="shared" si="6"/>
      </c>
      <c r="S20" s="1">
        <f t="shared" si="7"/>
      </c>
      <c r="T20" s="1">
        <f t="shared" si="8"/>
      </c>
      <c r="U20" s="1">
        <f t="shared" si="9"/>
      </c>
      <c r="V20" s="1">
        <f t="shared" si="10"/>
      </c>
      <c r="W20" s="1" t="str">
        <f t="shared" si="11"/>
        <v>1. MKC Duisburg</v>
      </c>
      <c r="X20" s="1">
        <f t="shared" si="12"/>
      </c>
      <c r="Y20" s="1">
        <f t="shared" si="13"/>
      </c>
      <c r="Z20" s="1">
        <f t="shared" si="14"/>
      </c>
      <c r="AA20" s="1">
        <f t="shared" si="15"/>
      </c>
      <c r="AB20" s="1">
        <f t="shared" si="16"/>
      </c>
    </row>
    <row r="21" spans="1:36" ht="16.5">
      <c r="A21" s="34">
        <f t="shared" si="17"/>
        <v>111</v>
      </c>
      <c r="B21" s="34" t="s">
        <v>27</v>
      </c>
      <c r="C21" s="34">
        <v>1</v>
      </c>
      <c r="D21" s="35">
        <v>0.6354166666666666</v>
      </c>
      <c r="E21" s="34" t="s">
        <v>55</v>
      </c>
      <c r="F21" s="34" t="str">
        <f>Saisondaten!$C$30</f>
        <v>KCNW Berlin</v>
      </c>
      <c r="G21" s="34" t="s">
        <v>43</v>
      </c>
      <c r="H21" s="34" t="str">
        <f>Saisondaten!$B$29</f>
        <v>WSF Liblar</v>
      </c>
      <c r="I21" s="36"/>
      <c r="J21" s="34" t="s">
        <v>43</v>
      </c>
      <c r="K21" s="36"/>
      <c r="L21" s="194" t="str">
        <f>IF(VLOOKUP(A21,Schiedsrichter!$A$3:$I$176,8,FALSE)=0,"-",VLOOKUP(A21,Schiedsrichter!$A$3:$I$176,8,FALSE))</f>
        <v>KGW Essen</v>
      </c>
      <c r="M21" s="199" t="s">
        <v>249</v>
      </c>
      <c r="N21" s="197" t="str">
        <f>IF(VLOOKUP(A21,Schiedsrichter!$A$3:$I$176,9,FALSE)=0,"-",VLOOKUP(A21,Schiedsrichter!$A$3:$I$176,9,FALSE))</f>
        <v>ACC Hamburg</v>
      </c>
      <c r="P21" s="1" t="str">
        <f t="shared" si="5"/>
        <v>na</v>
      </c>
      <c r="Q21" s="1" t="str">
        <f t="shared" si="18"/>
        <v>KCNW Berlin</v>
      </c>
      <c r="R21" s="1">
        <f t="shared" si="6"/>
      </c>
      <c r="S21" s="1">
        <f t="shared" si="7"/>
      </c>
      <c r="T21" s="1">
        <f t="shared" si="8"/>
      </c>
      <c r="U21" s="1">
        <f t="shared" si="9"/>
      </c>
      <c r="V21" s="1">
        <f t="shared" si="10"/>
      </c>
      <c r="W21" s="1" t="str">
        <f t="shared" si="11"/>
        <v>WSF Liblar</v>
      </c>
      <c r="X21" s="1">
        <f t="shared" si="12"/>
      </c>
      <c r="Y21" s="1">
        <f t="shared" si="13"/>
      </c>
      <c r="Z21" s="1">
        <f t="shared" si="14"/>
      </c>
      <c r="AA21" s="1">
        <f t="shared" si="15"/>
      </c>
      <c r="AB21" s="1">
        <f t="shared" si="16"/>
      </c>
      <c r="AE21" s="63" t="s">
        <v>45</v>
      </c>
      <c r="AF21" s="1" t="s">
        <v>54</v>
      </c>
      <c r="AG21" s="1" t="s">
        <v>47</v>
      </c>
      <c r="AH21" s="1" t="s">
        <v>53</v>
      </c>
      <c r="AI21" s="1" t="s">
        <v>50</v>
      </c>
      <c r="AJ21" s="1" t="s">
        <v>23</v>
      </c>
    </row>
    <row r="22" spans="1:36" ht="16.5">
      <c r="A22" s="34">
        <f t="shared" si="17"/>
        <v>112</v>
      </c>
      <c r="B22" s="34" t="s">
        <v>27</v>
      </c>
      <c r="C22" s="34">
        <v>2</v>
      </c>
      <c r="D22" s="35">
        <v>0.6354166666666666</v>
      </c>
      <c r="E22" s="34" t="s">
        <v>55</v>
      </c>
      <c r="F22" s="34" t="str">
        <f>Saisondaten!$C$31</f>
        <v>KSVH Berlin</v>
      </c>
      <c r="G22" s="34" t="s">
        <v>43</v>
      </c>
      <c r="H22" s="34" t="str">
        <f>Saisondaten!$B$28</f>
        <v>KRM Essen</v>
      </c>
      <c r="I22" s="36"/>
      <c r="J22" s="34" t="s">
        <v>43</v>
      </c>
      <c r="K22" s="36"/>
      <c r="L22" s="194" t="str">
        <f>IF(VLOOKUP(A22,Schiedsrichter!$A$3:$I$176,8,FALSE)=0,"-",VLOOKUP(A22,Schiedsrichter!$A$3:$I$176,8,FALSE))</f>
        <v>1. MKC Duisburg</v>
      </c>
      <c r="M22" s="199" t="s">
        <v>249</v>
      </c>
      <c r="N22" s="197" t="str">
        <f>IF(VLOOKUP(A22,Schiedsrichter!$A$3:$I$176,9,FALSE)=0,"-",VLOOKUP(A22,Schiedsrichter!$A$3:$I$176,9,FALSE))</f>
        <v>RSV Hannover</v>
      </c>
      <c r="P22" s="1" t="str">
        <f t="shared" si="5"/>
        <v>na</v>
      </c>
      <c r="Q22" s="1" t="str">
        <f t="shared" si="18"/>
        <v>KSVH Berlin</v>
      </c>
      <c r="R22" s="1">
        <f t="shared" si="6"/>
      </c>
      <c r="S22" s="1">
        <f t="shared" si="7"/>
      </c>
      <c r="T22" s="1">
        <f t="shared" si="8"/>
      </c>
      <c r="U22" s="1">
        <f t="shared" si="9"/>
      </c>
      <c r="V22" s="1">
        <f t="shared" si="10"/>
      </c>
      <c r="W22" s="1" t="str">
        <f t="shared" si="11"/>
        <v>KRM Essen</v>
      </c>
      <c r="X22" s="1">
        <f t="shared" si="12"/>
      </c>
      <c r="Y22" s="1">
        <f t="shared" si="13"/>
      </c>
      <c r="Z22" s="1">
        <f t="shared" si="14"/>
      </c>
      <c r="AA22" s="1">
        <f t="shared" si="15"/>
      </c>
      <c r="AB22" s="1">
        <f t="shared" si="16"/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3">
        <f t="shared" si="17"/>
        <v>113</v>
      </c>
      <c r="B23" s="13" t="s">
        <v>27</v>
      </c>
      <c r="C23" s="13">
        <v>1</v>
      </c>
      <c r="D23" s="14">
        <v>0.6666666666666666</v>
      </c>
      <c r="E23" s="13" t="s">
        <v>55</v>
      </c>
      <c r="F23" s="13" t="str">
        <f>Saisondaten!$C$32</f>
        <v>VK Berlin</v>
      </c>
      <c r="G23" s="13" t="s">
        <v>43</v>
      </c>
      <c r="H23" s="13" t="str">
        <f>Saisondaten!$B$33</f>
        <v>Göttinger PC</v>
      </c>
      <c r="I23" s="20"/>
      <c r="J23" s="13" t="s">
        <v>43</v>
      </c>
      <c r="K23" s="20"/>
      <c r="L23" s="179" t="str">
        <f>IF(VLOOKUP(A23,Schiedsrichter!$A$3:$I$176,8,FALSE)=0,"-",VLOOKUP(A23,Schiedsrichter!$A$3:$I$176,8,FALSE))</f>
        <v>WSF Liblar</v>
      </c>
      <c r="M23" s="175" t="s">
        <v>249</v>
      </c>
      <c r="N23" s="185" t="str">
        <f>IF(VLOOKUP(A23,Schiedsrichter!$A$3:$I$176,9,FALSE)=0,"-",VLOOKUP(A23,Schiedsrichter!$A$3:$I$176,9,FALSE))</f>
        <v>KSVH Berlin</v>
      </c>
      <c r="P23" s="1" t="str">
        <f t="shared" si="5"/>
        <v>na</v>
      </c>
      <c r="Q23" s="1" t="str">
        <f t="shared" si="18"/>
        <v>VK Berlin</v>
      </c>
      <c r="R23" s="1">
        <f t="shared" si="6"/>
      </c>
      <c r="S23" s="1">
        <f t="shared" si="7"/>
      </c>
      <c r="T23" s="1">
        <f t="shared" si="8"/>
      </c>
      <c r="U23" s="1">
        <f t="shared" si="9"/>
      </c>
      <c r="V23" s="1">
        <f t="shared" si="10"/>
      </c>
      <c r="W23" s="1" t="str">
        <f t="shared" si="11"/>
        <v>Göttinger PC</v>
      </c>
      <c r="X23" s="1">
        <f t="shared" si="12"/>
      </c>
      <c r="Y23" s="1">
        <f t="shared" si="13"/>
      </c>
      <c r="Z23" s="1">
        <f t="shared" si="14"/>
      </c>
      <c r="AA23" s="1">
        <f t="shared" si="15"/>
      </c>
      <c r="AB23" s="1">
        <f t="shared" si="16"/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1">
        <f t="shared" si="22"/>
        <v>0</v>
      </c>
      <c r="AJ23" s="1">
        <f t="shared" si="23"/>
        <v>0</v>
      </c>
    </row>
    <row r="24" spans="1:36" ht="16.5">
      <c r="A24" s="13">
        <f t="shared" si="17"/>
        <v>114</v>
      </c>
      <c r="B24" s="13" t="s">
        <v>27</v>
      </c>
      <c r="C24" s="13">
        <v>2</v>
      </c>
      <c r="D24" s="14">
        <v>0.6666666666666666</v>
      </c>
      <c r="E24" s="13" t="s">
        <v>55</v>
      </c>
      <c r="F24" s="13" t="str">
        <f>Saisondaten!$C$33</f>
        <v>KSV Glauchau</v>
      </c>
      <c r="G24" s="13" t="s">
        <v>43</v>
      </c>
      <c r="H24" s="13" t="str">
        <f>Saisondaten!$B$32</f>
        <v>KC Wetter</v>
      </c>
      <c r="I24" s="20"/>
      <c r="J24" s="13" t="s">
        <v>43</v>
      </c>
      <c r="K24" s="20"/>
      <c r="L24" s="179" t="str">
        <f>IF(VLOOKUP(A24,Schiedsrichter!$A$3:$I$176,8,FALSE)=0,"-",VLOOKUP(A24,Schiedsrichter!$A$3:$I$176,8,FALSE))</f>
        <v>KRM Essen</v>
      </c>
      <c r="M24" s="175" t="s">
        <v>249</v>
      </c>
      <c r="N24" s="185" t="str">
        <f>IF(VLOOKUP(A24,Schiedsrichter!$A$3:$I$176,9,FALSE)=0,"-",VLOOKUP(A24,Schiedsrichter!$A$3:$I$176,9,FALSE))</f>
        <v>KCNW Berlin</v>
      </c>
      <c r="P24" s="1" t="str">
        <f t="shared" si="5"/>
        <v>na</v>
      </c>
      <c r="Q24" s="1" t="str">
        <f t="shared" si="18"/>
        <v>KSV Glauchau</v>
      </c>
      <c r="R24" s="1">
        <f t="shared" si="6"/>
      </c>
      <c r="S24" s="1">
        <f t="shared" si="7"/>
      </c>
      <c r="T24" s="1">
        <f t="shared" si="8"/>
      </c>
      <c r="U24" s="1">
        <f t="shared" si="9"/>
      </c>
      <c r="V24" s="1">
        <f t="shared" si="10"/>
      </c>
      <c r="W24" s="1" t="str">
        <f t="shared" si="11"/>
        <v>KC Wetter</v>
      </c>
      <c r="X24" s="1">
        <f t="shared" si="12"/>
      </c>
      <c r="Y24" s="1">
        <f t="shared" si="13"/>
      </c>
      <c r="Z24" s="1">
        <f t="shared" si="14"/>
      </c>
      <c r="AA24" s="1">
        <f t="shared" si="15"/>
      </c>
      <c r="AB24" s="1">
        <f t="shared" si="16"/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1">
        <f t="shared" si="22"/>
        <v>0</v>
      </c>
      <c r="AJ24" s="1">
        <f t="shared" si="23"/>
        <v>0</v>
      </c>
    </row>
    <row r="25" spans="1:36" ht="16.5">
      <c r="A25" s="34">
        <f t="shared" si="17"/>
        <v>115</v>
      </c>
      <c r="B25" s="34" t="s">
        <v>27</v>
      </c>
      <c r="C25" s="34">
        <v>1</v>
      </c>
      <c r="D25" s="35">
        <v>0.6979166666666666</v>
      </c>
      <c r="E25" s="34" t="s">
        <v>55</v>
      </c>
      <c r="F25" s="34" t="str">
        <f>Saisondaten!$C$28</f>
        <v>RSV Hannover</v>
      </c>
      <c r="G25" s="34" t="s">
        <v>43</v>
      </c>
      <c r="H25" s="34" t="str">
        <f>Saisondaten!$B$30</f>
        <v>1. MKC Duisburg</v>
      </c>
      <c r="I25" s="36"/>
      <c r="J25" s="34" t="s">
        <v>43</v>
      </c>
      <c r="K25" s="36"/>
      <c r="L25" s="194" t="str">
        <f>IF(VLOOKUP(A25,Schiedsrichter!$A$3:$I$176,8,FALSE)=0,"-",VLOOKUP(A25,Schiedsrichter!$A$3:$I$176,8,FALSE))</f>
        <v>VK Berlin</v>
      </c>
      <c r="M25" s="199" t="s">
        <v>249</v>
      </c>
      <c r="N25" s="197" t="str">
        <f>IF(VLOOKUP(A25,Schiedsrichter!$A$3:$I$176,9,FALSE)=0,"-",VLOOKUP(A25,Schiedsrichter!$A$3:$I$176,9,FALSE))</f>
        <v>Göttinger PC</v>
      </c>
      <c r="P25" s="1" t="str">
        <f t="shared" si="5"/>
        <v>na</v>
      </c>
      <c r="Q25" s="1" t="str">
        <f t="shared" si="18"/>
        <v>RSV Hannover</v>
      </c>
      <c r="R25" s="1">
        <f t="shared" si="6"/>
      </c>
      <c r="S25" s="1">
        <f t="shared" si="7"/>
      </c>
      <c r="T25" s="1">
        <f t="shared" si="8"/>
      </c>
      <c r="U25" s="1">
        <f t="shared" si="9"/>
      </c>
      <c r="V25" s="1">
        <f t="shared" si="10"/>
      </c>
      <c r="W25" s="1" t="str">
        <f t="shared" si="11"/>
        <v>1. MKC Duisburg</v>
      </c>
      <c r="X25" s="1">
        <f t="shared" si="12"/>
      </c>
      <c r="Y25" s="1">
        <f t="shared" si="13"/>
      </c>
      <c r="Z25" s="1">
        <f t="shared" si="14"/>
      </c>
      <c r="AA25" s="1">
        <f t="shared" si="15"/>
      </c>
      <c r="AB25" s="1">
        <f t="shared" si="16"/>
      </c>
      <c r="AE25" s="1" t="str">
        <f t="shared" si="24"/>
        <v>KC Wetter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1">
        <f t="shared" si="22"/>
        <v>0</v>
      </c>
      <c r="AJ25" s="1">
        <f t="shared" si="23"/>
        <v>0</v>
      </c>
    </row>
    <row r="26" spans="1:36" ht="16.5">
      <c r="A26" s="34">
        <f t="shared" si="17"/>
        <v>116</v>
      </c>
      <c r="B26" s="34" t="s">
        <v>27</v>
      </c>
      <c r="C26" s="34">
        <v>2</v>
      </c>
      <c r="D26" s="35">
        <v>0.6979166666666666</v>
      </c>
      <c r="E26" s="34" t="s">
        <v>55</v>
      </c>
      <c r="F26" s="34" t="str">
        <f>Saisondaten!$C$29</f>
        <v>ACC Hamburg</v>
      </c>
      <c r="G26" s="34" t="s">
        <v>43</v>
      </c>
      <c r="H26" s="34" t="str">
        <f>Saisondaten!$B$31</f>
        <v>KGW Essen</v>
      </c>
      <c r="I26" s="36"/>
      <c r="J26" s="34" t="s">
        <v>43</v>
      </c>
      <c r="K26" s="36"/>
      <c r="L26" s="194" t="str">
        <f>IF(VLOOKUP(A26,Schiedsrichter!$A$3:$I$176,8,FALSE)=0,"-",VLOOKUP(A26,Schiedsrichter!$A$3:$I$176,8,FALSE))</f>
        <v>KSV Glauchau</v>
      </c>
      <c r="M26" s="199" t="s">
        <v>249</v>
      </c>
      <c r="N26" s="197" t="str">
        <f>IF(VLOOKUP(A26,Schiedsrichter!$A$3:$I$176,9,FALSE)=0,"-",VLOOKUP(A26,Schiedsrichter!$A$3:$I$176,9,FALSE))</f>
        <v>KC Wetter</v>
      </c>
      <c r="P26" s="1" t="str">
        <f t="shared" si="5"/>
        <v>na</v>
      </c>
      <c r="Q26" s="1" t="str">
        <f t="shared" si="18"/>
        <v>ACC Hamburg</v>
      </c>
      <c r="R26" s="1">
        <f t="shared" si="6"/>
      </c>
      <c r="S26" s="1">
        <f t="shared" si="7"/>
      </c>
      <c r="T26" s="1">
        <f t="shared" si="8"/>
      </c>
      <c r="U26" s="1">
        <f t="shared" si="9"/>
      </c>
      <c r="V26" s="1">
        <f t="shared" si="10"/>
      </c>
      <c r="W26" s="1" t="str">
        <f t="shared" si="11"/>
        <v>KGW Essen</v>
      </c>
      <c r="X26" s="1">
        <f t="shared" si="12"/>
      </c>
      <c r="Y26" s="1">
        <f t="shared" si="13"/>
      </c>
      <c r="Z26" s="1">
        <f t="shared" si="14"/>
      </c>
      <c r="AA26" s="1">
        <f t="shared" si="15"/>
      </c>
      <c r="AB26" s="1">
        <f t="shared" si="16"/>
      </c>
      <c r="AE26" s="1" t="str">
        <f t="shared" si="24"/>
        <v>KGW Essen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1">
        <f t="shared" si="22"/>
        <v>0</v>
      </c>
      <c r="AJ26" s="1">
        <f t="shared" si="23"/>
        <v>0</v>
      </c>
    </row>
    <row r="27" spans="1:36" ht="16.5">
      <c r="A27" s="13">
        <f t="shared" si="17"/>
        <v>117</v>
      </c>
      <c r="B27" s="13" t="s">
        <v>27</v>
      </c>
      <c r="C27" s="13">
        <v>1</v>
      </c>
      <c r="D27" s="14">
        <v>0.7291666666666666</v>
      </c>
      <c r="E27" s="13" t="s">
        <v>55</v>
      </c>
      <c r="F27" s="13" t="str">
        <f>Saisondaten!$C$30</f>
        <v>KCNW Berlin</v>
      </c>
      <c r="G27" s="13" t="s">
        <v>43</v>
      </c>
      <c r="H27" s="13" t="str">
        <f>Saisondaten!$B$28</f>
        <v>KRM Essen</v>
      </c>
      <c r="I27" s="20"/>
      <c r="J27" s="13" t="s">
        <v>43</v>
      </c>
      <c r="K27" s="20"/>
      <c r="L27" s="179" t="str">
        <f>IF(VLOOKUP(A27,Schiedsrichter!$A$3:$I$176,8,FALSE)=0,"-",VLOOKUP(A27,Schiedsrichter!$A$3:$I$176,8,FALSE))</f>
        <v>RSV Hannover</v>
      </c>
      <c r="M27" s="175" t="s">
        <v>249</v>
      </c>
      <c r="N27" s="185" t="str">
        <f>IF(VLOOKUP(A27,Schiedsrichter!$A$3:$I$176,9,FALSE)=0,"-",VLOOKUP(A27,Schiedsrichter!$A$3:$I$176,9,FALSE))</f>
        <v>1. MKC Duisburg</v>
      </c>
      <c r="P27" s="1" t="str">
        <f t="shared" si="5"/>
        <v>na</v>
      </c>
      <c r="Q27" s="1" t="str">
        <f t="shared" si="18"/>
        <v>KCNW Berlin</v>
      </c>
      <c r="R27" s="1">
        <f t="shared" si="6"/>
      </c>
      <c r="S27" s="1">
        <f t="shared" si="7"/>
      </c>
      <c r="T27" s="1">
        <f t="shared" si="8"/>
      </c>
      <c r="U27" s="1">
        <f t="shared" si="9"/>
      </c>
      <c r="V27" s="1">
        <f t="shared" si="10"/>
      </c>
      <c r="W27" s="1" t="str">
        <f t="shared" si="11"/>
        <v>KRM Essen</v>
      </c>
      <c r="X27" s="1">
        <f t="shared" si="12"/>
      </c>
      <c r="Y27" s="1">
        <f t="shared" si="13"/>
      </c>
      <c r="Z27" s="1">
        <f t="shared" si="14"/>
      </c>
      <c r="AA27" s="1">
        <f t="shared" si="15"/>
      </c>
      <c r="AB27" s="1">
        <f t="shared" si="16"/>
      </c>
      <c r="AE27" s="1" t="str">
        <f t="shared" si="24"/>
        <v>Göttinger PC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1">
        <f t="shared" si="22"/>
        <v>0</v>
      </c>
      <c r="AJ27" s="1">
        <f t="shared" si="23"/>
        <v>0</v>
      </c>
    </row>
    <row r="28" spans="1:36" ht="16.5">
      <c r="A28" s="13">
        <f t="shared" si="17"/>
        <v>118</v>
      </c>
      <c r="B28" s="13" t="s">
        <v>27</v>
      </c>
      <c r="C28" s="13">
        <v>2</v>
      </c>
      <c r="D28" s="14">
        <v>0.7291666666666666</v>
      </c>
      <c r="E28" s="13" t="s">
        <v>55</v>
      </c>
      <c r="F28" s="13" t="str">
        <f>Saisondaten!$C$31</f>
        <v>KSVH Berlin</v>
      </c>
      <c r="G28" s="13" t="s">
        <v>43</v>
      </c>
      <c r="H28" s="13" t="str">
        <f>Saisondaten!$B$29</f>
        <v>WSF Liblar</v>
      </c>
      <c r="I28" s="20"/>
      <c r="J28" s="13" t="s">
        <v>43</v>
      </c>
      <c r="K28" s="20"/>
      <c r="L28" s="179" t="str">
        <f>IF(VLOOKUP(A28,Schiedsrichter!$A$3:$I$176,8,FALSE)=0,"-",VLOOKUP(A28,Schiedsrichter!$A$3:$I$176,8,FALSE))</f>
        <v>ACC Hamburg</v>
      </c>
      <c r="M28" s="175" t="s">
        <v>249</v>
      </c>
      <c r="N28" s="185" t="str">
        <f>IF(VLOOKUP(A28,Schiedsrichter!$A$3:$I$176,9,FALSE)=0,"-",VLOOKUP(A28,Schiedsrichter!$A$3:$I$176,9,FALSE))</f>
        <v>KGW Essen</v>
      </c>
      <c r="P28" s="1" t="str">
        <f t="shared" si="5"/>
        <v>na</v>
      </c>
      <c r="Q28" s="1" t="str">
        <f t="shared" si="18"/>
        <v>KSVH Berlin</v>
      </c>
      <c r="R28" s="1">
        <f t="shared" si="6"/>
      </c>
      <c r="S28" s="1">
        <f t="shared" si="7"/>
      </c>
      <c r="T28" s="1">
        <f t="shared" si="8"/>
      </c>
      <c r="U28" s="1">
        <f t="shared" si="9"/>
      </c>
      <c r="V28" s="1">
        <f t="shared" si="10"/>
      </c>
      <c r="W28" s="1" t="str">
        <f t="shared" si="11"/>
        <v>WSF Liblar</v>
      </c>
      <c r="X28" s="1">
        <f t="shared" si="12"/>
      </c>
      <c r="Y28" s="1">
        <f t="shared" si="13"/>
      </c>
      <c r="Z28" s="1">
        <f t="shared" si="14"/>
      </c>
      <c r="AA28" s="1">
        <f t="shared" si="15"/>
      </c>
      <c r="AB28" s="1">
        <f t="shared" si="16"/>
      </c>
      <c r="AE28" s="1" t="str">
        <f t="shared" si="24"/>
        <v>ACC Hamburg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1">
        <f t="shared" si="22"/>
        <v>0</v>
      </c>
      <c r="AJ28" s="1">
        <f t="shared" si="23"/>
        <v>0</v>
      </c>
    </row>
    <row r="29" spans="1:36" ht="16.5">
      <c r="A29" s="34">
        <f t="shared" si="17"/>
        <v>119</v>
      </c>
      <c r="B29" s="34" t="s">
        <v>27</v>
      </c>
      <c r="C29" s="34">
        <v>1</v>
      </c>
      <c r="D29" s="35">
        <v>0.7604166666666666</v>
      </c>
      <c r="E29" s="34" t="s">
        <v>55</v>
      </c>
      <c r="F29" s="34" t="str">
        <f>Saisondaten!$C$32</f>
        <v>VK Berlin</v>
      </c>
      <c r="G29" s="34" t="s">
        <v>43</v>
      </c>
      <c r="H29" s="34" t="str">
        <f>Saisondaten!$B$32</f>
        <v>KC Wetter</v>
      </c>
      <c r="I29" s="36"/>
      <c r="J29" s="34" t="s">
        <v>43</v>
      </c>
      <c r="K29" s="36"/>
      <c r="L29" s="194" t="str">
        <f>IF(VLOOKUP(A29,Schiedsrichter!$A$3:$I$176,8,FALSE)=0,"-",VLOOKUP(A29,Schiedsrichter!$A$3:$I$176,8,FALSE))</f>
        <v>KCNW Berlin</v>
      </c>
      <c r="M29" s="199" t="s">
        <v>249</v>
      </c>
      <c r="N29" s="197" t="str">
        <f>IF(VLOOKUP(A29,Schiedsrichter!$A$3:$I$176,9,FALSE)=0,"-",VLOOKUP(A29,Schiedsrichter!$A$3:$I$176,9,FALSE))</f>
        <v>1. MKC Duisburg</v>
      </c>
      <c r="P29" s="1" t="str">
        <f t="shared" si="5"/>
        <v>na</v>
      </c>
      <c r="Q29" s="1" t="str">
        <f t="shared" si="18"/>
        <v>VK Berlin</v>
      </c>
      <c r="R29" s="1">
        <f t="shared" si="6"/>
      </c>
      <c r="S29" s="1">
        <f t="shared" si="7"/>
      </c>
      <c r="T29" s="1">
        <f t="shared" si="8"/>
      </c>
      <c r="U29" s="1">
        <f t="shared" si="9"/>
      </c>
      <c r="V29" s="1">
        <f t="shared" si="10"/>
      </c>
      <c r="W29" s="1" t="str">
        <f t="shared" si="11"/>
        <v>KC Wetter</v>
      </c>
      <c r="X29" s="1">
        <f t="shared" si="12"/>
      </c>
      <c r="Y29" s="1">
        <f t="shared" si="13"/>
      </c>
      <c r="Z29" s="1">
        <f t="shared" si="14"/>
      </c>
      <c r="AA29" s="1">
        <f t="shared" si="15"/>
      </c>
      <c r="AB29" s="1">
        <f t="shared" si="16"/>
      </c>
      <c r="AE29" s="1" t="str">
        <f t="shared" si="24"/>
        <v>KCNW Berlin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1">
        <f t="shared" si="22"/>
        <v>0</v>
      </c>
      <c r="AJ29" s="1">
        <f t="shared" si="23"/>
        <v>0</v>
      </c>
    </row>
    <row r="30" spans="1:36" ht="16.5">
      <c r="A30" s="34">
        <f t="shared" si="17"/>
        <v>120</v>
      </c>
      <c r="B30" s="34" t="s">
        <v>27</v>
      </c>
      <c r="C30" s="34">
        <v>2</v>
      </c>
      <c r="D30" s="35">
        <v>0.7604166666666666</v>
      </c>
      <c r="E30" s="34" t="s">
        <v>55</v>
      </c>
      <c r="F30" s="34" t="str">
        <f>Saisondaten!$C$33</f>
        <v>KSV Glauchau</v>
      </c>
      <c r="G30" s="34" t="s">
        <v>43</v>
      </c>
      <c r="H30" s="34" t="str">
        <f>Saisondaten!$B$33</f>
        <v>Göttinger PC</v>
      </c>
      <c r="I30" s="36"/>
      <c r="J30" s="34" t="s">
        <v>43</v>
      </c>
      <c r="K30" s="36"/>
      <c r="L30" s="194" t="str">
        <f>IF(VLOOKUP(A30,Schiedsrichter!$A$3:$I$176,8,FALSE)=0,"-",VLOOKUP(A30,Schiedsrichter!$A$3:$I$176,8,FALSE))</f>
        <v>KSVH Berlin</v>
      </c>
      <c r="M30" s="199" t="s">
        <v>249</v>
      </c>
      <c r="N30" s="197" t="str">
        <f>IF(VLOOKUP(A30,Schiedsrichter!$A$3:$I$176,9,FALSE)=0,"-",VLOOKUP(A30,Schiedsrichter!$A$3:$I$176,9,FALSE))</f>
        <v>KGW Essen</v>
      </c>
      <c r="P30" s="1" t="str">
        <f t="shared" si="5"/>
        <v>na</v>
      </c>
      <c r="Q30" s="1" t="str">
        <f t="shared" si="18"/>
        <v>KSV Glauchau</v>
      </c>
      <c r="R30" s="1">
        <f t="shared" si="6"/>
      </c>
      <c r="S30" s="1">
        <f t="shared" si="7"/>
      </c>
      <c r="T30" s="1">
        <f t="shared" si="8"/>
      </c>
      <c r="U30" s="1">
        <f t="shared" si="9"/>
      </c>
      <c r="V30" s="1">
        <f t="shared" si="10"/>
      </c>
      <c r="W30" s="1" t="str">
        <f t="shared" si="11"/>
        <v>Göttinger PC</v>
      </c>
      <c r="X30" s="1">
        <f t="shared" si="12"/>
      </c>
      <c r="Y30" s="1">
        <f t="shared" si="13"/>
      </c>
      <c r="Z30" s="1">
        <f t="shared" si="14"/>
      </c>
      <c r="AA30" s="1">
        <f t="shared" si="15"/>
      </c>
      <c r="AB30" s="1">
        <f t="shared" si="16"/>
      </c>
      <c r="AE30" s="1" t="str">
        <f t="shared" si="24"/>
        <v>RSV Hannover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1">
        <f t="shared" si="22"/>
        <v>0</v>
      </c>
      <c r="AJ30" s="1">
        <f t="shared" si="23"/>
        <v>0</v>
      </c>
    </row>
    <row r="31" spans="1:36" ht="7.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P31" s="1" t="str">
        <f t="shared" si="5"/>
        <v>na</v>
      </c>
      <c r="Q31" s="1">
        <f t="shared" si="18"/>
        <v>0</v>
      </c>
      <c r="R31" s="1">
        <f t="shared" si="6"/>
      </c>
      <c r="S31" s="1">
        <f t="shared" si="7"/>
      </c>
      <c r="T31" s="1">
        <f t="shared" si="8"/>
      </c>
      <c r="U31" s="1">
        <f t="shared" si="9"/>
      </c>
      <c r="V31" s="1">
        <f t="shared" si="10"/>
      </c>
      <c r="W31" s="1">
        <f t="shared" si="11"/>
        <v>0</v>
      </c>
      <c r="X31" s="1">
        <f t="shared" si="12"/>
      </c>
      <c r="Y31" s="1">
        <f t="shared" si="13"/>
      </c>
      <c r="Z31" s="1">
        <f t="shared" si="14"/>
      </c>
      <c r="AA31" s="1">
        <f t="shared" si="15"/>
      </c>
      <c r="AB31" s="1">
        <f t="shared" si="16"/>
      </c>
      <c r="AE31" s="1" t="str">
        <f t="shared" si="24"/>
        <v>VK Berlin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1">
        <f t="shared" si="22"/>
        <v>0</v>
      </c>
      <c r="AJ31" s="1">
        <f t="shared" si="23"/>
        <v>0</v>
      </c>
    </row>
    <row r="32" spans="1:36" ht="17.25">
      <c r="A32" s="350" t="str">
        <f>TEXT(Saisondaten!$C$11,"[$-F800]TTTT, MMMM TT, JJJJ")</f>
        <v>Sonntag, 22. Juli 2018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P32" s="1" t="str">
        <f t="shared" si="5"/>
        <v>na</v>
      </c>
      <c r="Q32" s="1">
        <f t="shared" si="18"/>
        <v>0</v>
      </c>
      <c r="R32" s="1">
        <f t="shared" si="6"/>
      </c>
      <c r="S32" s="1">
        <f t="shared" si="7"/>
      </c>
      <c r="T32" s="1">
        <f t="shared" si="8"/>
      </c>
      <c r="U32" s="1">
        <f t="shared" si="9"/>
      </c>
      <c r="V32" s="1">
        <f t="shared" si="10"/>
      </c>
      <c r="W32" s="1">
        <f t="shared" si="11"/>
        <v>0</v>
      </c>
      <c r="X32" s="1">
        <f t="shared" si="12"/>
      </c>
      <c r="Y32" s="1">
        <f t="shared" si="13"/>
      </c>
      <c r="Z32" s="1">
        <f t="shared" si="14"/>
      </c>
      <c r="AA32" s="1">
        <f t="shared" si="15"/>
      </c>
      <c r="AB32" s="1">
        <f t="shared" si="16"/>
      </c>
      <c r="AE32" s="1" t="str">
        <f t="shared" si="24"/>
        <v>KSV Glauchau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1">
        <f t="shared" si="22"/>
        <v>0</v>
      </c>
      <c r="AJ32" s="1">
        <f t="shared" si="23"/>
        <v>0</v>
      </c>
    </row>
    <row r="33" spans="1:36" ht="16.5">
      <c r="A33" s="31">
        <f>A30+1</f>
        <v>121</v>
      </c>
      <c r="B33" s="31" t="s">
        <v>27</v>
      </c>
      <c r="C33" s="31">
        <v>1</v>
      </c>
      <c r="D33" s="32">
        <v>0.4166666666666667</v>
      </c>
      <c r="E33" s="31" t="s">
        <v>55</v>
      </c>
      <c r="F33" s="31" t="str">
        <f>Saisondaten!$C$32</f>
        <v>VK Berlin</v>
      </c>
      <c r="G33" s="31" t="s">
        <v>43</v>
      </c>
      <c r="H33" s="31" t="str">
        <f>Saisondaten!$B$31</f>
        <v>KGW Essen</v>
      </c>
      <c r="I33" s="33"/>
      <c r="J33" s="31" t="s">
        <v>43</v>
      </c>
      <c r="K33" s="33"/>
      <c r="L33" s="193" t="str">
        <f>IF(VLOOKUP(A33,Schiedsrichter!$A$3:$I$176,8,FALSE)=0,"-",VLOOKUP(A33,Schiedsrichter!$A$3:$I$176,8,FALSE))</f>
        <v>WSF Liblar</v>
      </c>
      <c r="M33" s="192" t="s">
        <v>249</v>
      </c>
      <c r="N33" s="198" t="str">
        <f>IF(VLOOKUP(A33,Schiedsrichter!$A$3:$I$176,9,FALSE)=0,"-",VLOOKUP(A33,Schiedsrichter!$A$3:$I$176,9,FALSE))</f>
        <v>ACC Hamburg</v>
      </c>
      <c r="P33" s="1" t="str">
        <f t="shared" si="5"/>
        <v>na</v>
      </c>
      <c r="Q33" s="1" t="str">
        <f t="shared" si="18"/>
        <v>VK Berlin</v>
      </c>
      <c r="R33" s="1">
        <f t="shared" si="6"/>
      </c>
      <c r="S33" s="1">
        <f t="shared" si="7"/>
      </c>
      <c r="T33" s="1">
        <f t="shared" si="8"/>
      </c>
      <c r="U33" s="1">
        <f t="shared" si="9"/>
      </c>
      <c r="V33" s="1">
        <f t="shared" si="10"/>
      </c>
      <c r="W33" s="1" t="str">
        <f t="shared" si="11"/>
        <v>KGW Essen</v>
      </c>
      <c r="X33" s="1">
        <f t="shared" si="12"/>
      </c>
      <c r="Y33" s="1">
        <f t="shared" si="13"/>
      </c>
      <c r="Z33" s="1">
        <f t="shared" si="14"/>
      </c>
      <c r="AA33" s="1">
        <f t="shared" si="15"/>
      </c>
      <c r="AB33" s="1">
        <f t="shared" si="16"/>
      </c>
      <c r="AE33" s="1" t="str">
        <f t="shared" si="24"/>
        <v>KSVH Berlin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1">
        <f t="shared" si="22"/>
        <v>0</v>
      </c>
      <c r="AJ33" s="1">
        <f t="shared" si="23"/>
        <v>0</v>
      </c>
    </row>
    <row r="34" spans="1:28" ht="16.5">
      <c r="A34" s="34">
        <f aca="true" t="shared" si="25" ref="A34:A44">A33+1</f>
        <v>122</v>
      </c>
      <c r="B34" s="34" t="s">
        <v>27</v>
      </c>
      <c r="C34" s="34">
        <v>2</v>
      </c>
      <c r="D34" s="35">
        <v>0.4166666666666667</v>
      </c>
      <c r="E34" s="34" t="s">
        <v>55</v>
      </c>
      <c r="F34" s="34" t="str">
        <f>Saisondaten!$C$33</f>
        <v>KSV Glauchau</v>
      </c>
      <c r="G34" s="34" t="s">
        <v>43</v>
      </c>
      <c r="H34" s="34" t="str">
        <f>Saisondaten!$B$30</f>
        <v>1. MKC Duisburg</v>
      </c>
      <c r="I34" s="36"/>
      <c r="J34" s="34" t="s">
        <v>43</v>
      </c>
      <c r="K34" s="36"/>
      <c r="L34" s="194" t="str">
        <f>IF(VLOOKUP(A34,Schiedsrichter!$A$3:$I$176,8,FALSE)=0,"-",VLOOKUP(A34,Schiedsrichter!$A$3:$I$176,8,FALSE))</f>
        <v>KRM Essen</v>
      </c>
      <c r="M34" s="199" t="s">
        <v>249</v>
      </c>
      <c r="N34" s="197" t="str">
        <f>IF(VLOOKUP(A34,Schiedsrichter!$A$3:$I$176,9,FALSE)=0,"-",VLOOKUP(A34,Schiedsrichter!$A$3:$I$176,9,FALSE))</f>
        <v>RSV Hannover</v>
      </c>
      <c r="P34" s="1" t="str">
        <f t="shared" si="5"/>
        <v>na</v>
      </c>
      <c r="Q34" s="1" t="str">
        <f t="shared" si="18"/>
        <v>KSV Glauchau</v>
      </c>
      <c r="R34" s="1">
        <f t="shared" si="6"/>
      </c>
      <c r="S34" s="1">
        <f t="shared" si="7"/>
      </c>
      <c r="T34" s="1">
        <f t="shared" si="8"/>
      </c>
      <c r="U34" s="1">
        <f t="shared" si="9"/>
      </c>
      <c r="V34" s="1">
        <f t="shared" si="10"/>
      </c>
      <c r="W34" s="1" t="str">
        <f t="shared" si="11"/>
        <v>1. MKC Duisburg</v>
      </c>
      <c r="X34" s="1">
        <f t="shared" si="12"/>
      </c>
      <c r="Y34" s="1">
        <f t="shared" si="13"/>
      </c>
      <c r="Z34" s="1">
        <f t="shared" si="14"/>
      </c>
      <c r="AA34" s="1">
        <f t="shared" si="15"/>
      </c>
      <c r="AB34" s="1">
        <f t="shared" si="16"/>
      </c>
    </row>
    <row r="35" spans="1:28" ht="16.5">
      <c r="A35" s="13">
        <f t="shared" si="25"/>
        <v>123</v>
      </c>
      <c r="B35" s="13" t="s">
        <v>27</v>
      </c>
      <c r="C35" s="13">
        <v>1</v>
      </c>
      <c r="D35" s="14">
        <v>0.4479166666666667</v>
      </c>
      <c r="E35" s="13" t="s">
        <v>55</v>
      </c>
      <c r="F35" s="13" t="str">
        <f>Saisondaten!$C$30</f>
        <v>KCNW Berlin</v>
      </c>
      <c r="G35" s="13" t="s">
        <v>43</v>
      </c>
      <c r="H35" s="13" t="str">
        <f>Saisondaten!$B$33</f>
        <v>Göttinger PC</v>
      </c>
      <c r="I35" s="20"/>
      <c r="J35" s="13" t="s">
        <v>43</v>
      </c>
      <c r="K35" s="20"/>
      <c r="L35" s="179" t="str">
        <f>IF(VLOOKUP(A35,Schiedsrichter!$A$3:$I$176,8,FALSE)=0,"-",VLOOKUP(A35,Schiedsrichter!$A$3:$I$176,8,FALSE))</f>
        <v>1. MKC Duisburg</v>
      </c>
      <c r="M35" s="175" t="s">
        <v>249</v>
      </c>
      <c r="N35" s="185" t="str">
        <f>IF(VLOOKUP(A35,Schiedsrichter!$A$3:$I$176,9,FALSE)=0,"-",VLOOKUP(A35,Schiedsrichter!$A$3:$I$176,9,FALSE))</f>
        <v>KSV Glauchau</v>
      </c>
      <c r="P35" s="1" t="str">
        <f t="shared" si="5"/>
        <v>na</v>
      </c>
      <c r="Q35" s="1" t="str">
        <f t="shared" si="18"/>
        <v>KCNW Berlin</v>
      </c>
      <c r="R35" s="1">
        <f t="shared" si="6"/>
      </c>
      <c r="S35" s="1">
        <f t="shared" si="7"/>
      </c>
      <c r="T35" s="1">
        <f t="shared" si="8"/>
      </c>
      <c r="U35" s="1">
        <f t="shared" si="9"/>
      </c>
      <c r="V35" s="1">
        <f t="shared" si="10"/>
      </c>
      <c r="W35" s="1" t="str">
        <f t="shared" si="11"/>
        <v>Göttinger PC</v>
      </c>
      <c r="X35" s="1">
        <f t="shared" si="12"/>
      </c>
      <c r="Y35" s="1">
        <f t="shared" si="13"/>
      </c>
      <c r="Z35" s="1">
        <f t="shared" si="14"/>
      </c>
      <c r="AA35" s="1">
        <f t="shared" si="15"/>
      </c>
      <c r="AB35" s="1">
        <f t="shared" si="16"/>
      </c>
    </row>
    <row r="36" spans="1:28" ht="16.5">
      <c r="A36" s="13">
        <f t="shared" si="25"/>
        <v>124</v>
      </c>
      <c r="B36" s="13" t="s">
        <v>27</v>
      </c>
      <c r="C36" s="13">
        <v>2</v>
      </c>
      <c r="D36" s="14">
        <v>0.4479166666666667</v>
      </c>
      <c r="E36" s="13" t="s">
        <v>55</v>
      </c>
      <c r="F36" s="13" t="str">
        <f>Saisondaten!$C$31</f>
        <v>KSVH Berlin</v>
      </c>
      <c r="G36" s="13" t="s">
        <v>43</v>
      </c>
      <c r="H36" s="13" t="str">
        <f>Saisondaten!$B$32</f>
        <v>KC Wetter</v>
      </c>
      <c r="I36" s="20"/>
      <c r="J36" s="13" t="s">
        <v>43</v>
      </c>
      <c r="K36" s="20"/>
      <c r="L36" s="179" t="str">
        <f>IF(VLOOKUP(A36,Schiedsrichter!$A$3:$I$176,8,FALSE)=0,"-",VLOOKUP(A36,Schiedsrichter!$A$3:$I$176,8,FALSE))</f>
        <v>KGW Essen</v>
      </c>
      <c r="M36" s="175" t="s">
        <v>249</v>
      </c>
      <c r="N36" s="185" t="str">
        <f>IF(VLOOKUP(A36,Schiedsrichter!$A$3:$I$176,9,FALSE)=0,"-",VLOOKUP(A36,Schiedsrichter!$A$3:$I$176,9,FALSE))</f>
        <v>VK Berlin</v>
      </c>
      <c r="P36" s="1" t="str">
        <f t="shared" si="5"/>
        <v>na</v>
      </c>
      <c r="Q36" s="1" t="str">
        <f t="shared" si="18"/>
        <v>KSVH Berlin</v>
      </c>
      <c r="R36" s="1">
        <f t="shared" si="6"/>
      </c>
      <c r="S36" s="1">
        <f t="shared" si="7"/>
      </c>
      <c r="T36" s="1">
        <f t="shared" si="8"/>
      </c>
      <c r="U36" s="1">
        <f t="shared" si="9"/>
      </c>
      <c r="V36" s="1">
        <f t="shared" si="10"/>
      </c>
      <c r="W36" s="1" t="str">
        <f t="shared" si="11"/>
        <v>KC Wetter</v>
      </c>
      <c r="X36" s="1">
        <f t="shared" si="12"/>
      </c>
      <c r="Y36" s="1">
        <f t="shared" si="13"/>
      </c>
      <c r="Z36" s="1">
        <f t="shared" si="14"/>
      </c>
      <c r="AA36" s="1">
        <f t="shared" si="15"/>
      </c>
      <c r="AB36" s="1">
        <f t="shared" si="16"/>
      </c>
    </row>
    <row r="37" spans="1:28" ht="16.5">
      <c r="A37" s="34">
        <f t="shared" si="25"/>
        <v>125</v>
      </c>
      <c r="B37" s="34" t="s">
        <v>27</v>
      </c>
      <c r="C37" s="34">
        <v>1</v>
      </c>
      <c r="D37" s="35">
        <v>0.4791666666666667</v>
      </c>
      <c r="E37" s="34" t="s">
        <v>55</v>
      </c>
      <c r="F37" s="34" t="str">
        <f>Saisondaten!$C$28</f>
        <v>RSV Hannover</v>
      </c>
      <c r="G37" s="34" t="s">
        <v>43</v>
      </c>
      <c r="H37" s="34" t="str">
        <f>Saisondaten!$B$29</f>
        <v>WSF Liblar</v>
      </c>
      <c r="I37" s="36"/>
      <c r="J37" s="34" t="s">
        <v>43</v>
      </c>
      <c r="K37" s="36"/>
      <c r="L37" s="194" t="str">
        <f>IF(VLOOKUP(A37,Schiedsrichter!$A$3:$I$176,8,FALSE)=0,"-",VLOOKUP(A37,Schiedsrichter!$A$3:$I$176,8,FALSE))</f>
        <v>Göttinger PC</v>
      </c>
      <c r="M37" s="199" t="s">
        <v>249</v>
      </c>
      <c r="N37" s="197" t="str">
        <f>IF(VLOOKUP(A37,Schiedsrichter!$A$3:$I$176,9,FALSE)=0,"-",VLOOKUP(A37,Schiedsrichter!$A$3:$I$176,9,FALSE))</f>
        <v>KSVH Berlin</v>
      </c>
      <c r="P37" s="1" t="str">
        <f t="shared" si="5"/>
        <v>na</v>
      </c>
      <c r="Q37" s="1" t="str">
        <f t="shared" si="18"/>
        <v>RSV Hannover</v>
      </c>
      <c r="R37" s="1">
        <f t="shared" si="6"/>
      </c>
      <c r="S37" s="1">
        <f t="shared" si="7"/>
      </c>
      <c r="T37" s="1">
        <f t="shared" si="8"/>
      </c>
      <c r="U37" s="1">
        <f t="shared" si="9"/>
      </c>
      <c r="V37" s="1">
        <f t="shared" si="10"/>
      </c>
      <c r="W37" s="1" t="str">
        <f t="shared" si="11"/>
        <v>WSF Liblar</v>
      </c>
      <c r="X37" s="1">
        <f t="shared" si="12"/>
      </c>
      <c r="Y37" s="1">
        <f t="shared" si="13"/>
      </c>
      <c r="Z37" s="1">
        <f t="shared" si="14"/>
      </c>
      <c r="AA37" s="1">
        <f t="shared" si="15"/>
      </c>
      <c r="AB37" s="1">
        <f t="shared" si="16"/>
      </c>
    </row>
    <row r="38" spans="1:28" ht="16.5">
      <c r="A38" s="34">
        <f t="shared" si="25"/>
        <v>126</v>
      </c>
      <c r="B38" s="34" t="s">
        <v>27</v>
      </c>
      <c r="C38" s="34">
        <v>2</v>
      </c>
      <c r="D38" s="35">
        <v>0.4791666666666667</v>
      </c>
      <c r="E38" s="34" t="s">
        <v>55</v>
      </c>
      <c r="F38" s="34" t="str">
        <f>Saisondaten!$C$29</f>
        <v>ACC Hamburg</v>
      </c>
      <c r="G38" s="34" t="s">
        <v>43</v>
      </c>
      <c r="H38" s="34" t="str">
        <f>Saisondaten!$B$28</f>
        <v>KRM Essen</v>
      </c>
      <c r="I38" s="36"/>
      <c r="J38" s="34" t="s">
        <v>43</v>
      </c>
      <c r="K38" s="36"/>
      <c r="L38" s="194" t="str">
        <f>IF(VLOOKUP(A38,Schiedsrichter!$A$3:$I$176,8,FALSE)=0,"-",VLOOKUP(A38,Schiedsrichter!$A$3:$I$176,8,FALSE))</f>
        <v>KC Wetter</v>
      </c>
      <c r="M38" s="199" t="s">
        <v>249</v>
      </c>
      <c r="N38" s="197" t="str">
        <f>IF(VLOOKUP(A38,Schiedsrichter!$A$3:$I$176,9,FALSE)=0,"-",VLOOKUP(A38,Schiedsrichter!$A$3:$I$176,9,FALSE))</f>
        <v>KCNW Berlin</v>
      </c>
      <c r="P38" s="1" t="str">
        <f t="shared" si="5"/>
        <v>na</v>
      </c>
      <c r="Q38" s="1" t="str">
        <f t="shared" si="18"/>
        <v>ACC Hamburg</v>
      </c>
      <c r="R38" s="1">
        <f t="shared" si="6"/>
      </c>
      <c r="S38" s="1">
        <f t="shared" si="7"/>
      </c>
      <c r="T38" s="1">
        <f t="shared" si="8"/>
      </c>
      <c r="U38" s="1">
        <f t="shared" si="9"/>
      </c>
      <c r="V38" s="1">
        <f t="shared" si="10"/>
      </c>
      <c r="W38" s="1" t="str">
        <f t="shared" si="11"/>
        <v>KRM Essen</v>
      </c>
      <c r="X38" s="1">
        <f t="shared" si="12"/>
      </c>
      <c r="Y38" s="1">
        <f t="shared" si="13"/>
      </c>
      <c r="Z38" s="1">
        <f t="shared" si="14"/>
      </c>
      <c r="AA38" s="1">
        <f t="shared" si="15"/>
      </c>
      <c r="AB38" s="1">
        <f t="shared" si="16"/>
      </c>
    </row>
    <row r="39" spans="1:42" ht="16.5">
      <c r="A39" s="13">
        <f t="shared" si="25"/>
        <v>127</v>
      </c>
      <c r="B39" s="13" t="s">
        <v>27</v>
      </c>
      <c r="C39" s="13">
        <v>1</v>
      </c>
      <c r="D39" s="14">
        <v>0.5208333333333334</v>
      </c>
      <c r="E39" s="13" t="s">
        <v>55</v>
      </c>
      <c r="F39" s="13" t="str">
        <f>Saisondaten!$C$32</f>
        <v>VK Berlin</v>
      </c>
      <c r="G39" s="13" t="s">
        <v>43</v>
      </c>
      <c r="H39" s="13" t="str">
        <f>Saisondaten!$B$30</f>
        <v>1. MKC Duisburg</v>
      </c>
      <c r="I39" s="20"/>
      <c r="J39" s="13" t="s">
        <v>43</v>
      </c>
      <c r="K39" s="20"/>
      <c r="L39" s="179" t="str">
        <f>IF(VLOOKUP(A39,Schiedsrichter!$A$3:$I$176,8,FALSE)=0,"-",VLOOKUP(A39,Schiedsrichter!$A$3:$I$176,8,FALSE))</f>
        <v>RSV Hannover</v>
      </c>
      <c r="M39" s="175" t="s">
        <v>249</v>
      </c>
      <c r="N39" s="185" t="str">
        <f>IF(VLOOKUP(A39,Schiedsrichter!$A$3:$I$176,9,FALSE)=0,"-",VLOOKUP(A39,Schiedsrichter!$A$3:$I$176,9,FALSE))</f>
        <v>WSF Liblar</v>
      </c>
      <c r="P39" s="1" t="str">
        <f t="shared" si="5"/>
        <v>na</v>
      </c>
      <c r="Q39" s="1" t="str">
        <f t="shared" si="18"/>
        <v>VK Berlin</v>
      </c>
      <c r="R39" s="1">
        <f t="shared" si="6"/>
      </c>
      <c r="S39" s="1">
        <f t="shared" si="7"/>
      </c>
      <c r="T39" s="1">
        <f t="shared" si="8"/>
      </c>
      <c r="U39" s="1">
        <f t="shared" si="9"/>
      </c>
      <c r="V39" s="1">
        <f t="shared" si="10"/>
      </c>
      <c r="W39" s="1" t="str">
        <f t="shared" si="11"/>
        <v>1. MKC Duisburg</v>
      </c>
      <c r="X39" s="1">
        <f t="shared" si="12"/>
      </c>
      <c r="Y39" s="1">
        <f t="shared" si="13"/>
      </c>
      <c r="Z39" s="1">
        <f t="shared" si="14"/>
      </c>
      <c r="AA39" s="1">
        <f t="shared" si="15"/>
      </c>
      <c r="AB39" s="1">
        <f t="shared" si="16"/>
      </c>
      <c r="AD39" s="1" t="s">
        <v>70</v>
      </c>
      <c r="AE39" s="63" t="s">
        <v>45</v>
      </c>
      <c r="AF39" s="1" t="s">
        <v>8</v>
      </c>
      <c r="AG39" s="1" t="s">
        <v>54</v>
      </c>
      <c r="AH39" s="1" t="s">
        <v>47</v>
      </c>
      <c r="AI39" s="1" t="s">
        <v>53</v>
      </c>
      <c r="AJ39" s="1" t="s">
        <v>50</v>
      </c>
      <c r="AK39" s="1" t="s">
        <v>23</v>
      </c>
      <c r="AL39" s="1" t="s">
        <v>69</v>
      </c>
      <c r="AM39" s="349" t="s">
        <v>71</v>
      </c>
      <c r="AN39" s="349"/>
      <c r="AO39" s="349"/>
      <c r="AP39" s="349"/>
    </row>
    <row r="40" spans="1:73" ht="16.5">
      <c r="A40" s="15">
        <f t="shared" si="25"/>
        <v>128</v>
      </c>
      <c r="B40" s="15" t="s">
        <v>27</v>
      </c>
      <c r="C40" s="15">
        <v>2</v>
      </c>
      <c r="D40" s="16">
        <v>0.5208333333333334</v>
      </c>
      <c r="E40" s="15" t="s">
        <v>55</v>
      </c>
      <c r="F40" s="15" t="str">
        <f>Saisondaten!$C$33</f>
        <v>KSV Glauchau</v>
      </c>
      <c r="G40" s="13" t="s">
        <v>43</v>
      </c>
      <c r="H40" s="15" t="str">
        <f>Saisondaten!$B$31</f>
        <v>KGW Essen</v>
      </c>
      <c r="I40" s="22"/>
      <c r="J40" s="15" t="s">
        <v>43</v>
      </c>
      <c r="K40" s="22"/>
      <c r="L40" s="181" t="str">
        <f>IF(VLOOKUP(A40,Schiedsrichter!$A$3:$I$176,8,FALSE)=0,"-",VLOOKUP(A40,Schiedsrichter!$A$3:$I$176,8,FALSE))</f>
        <v>ACC Hamburg</v>
      </c>
      <c r="M40" s="175" t="s">
        <v>249</v>
      </c>
      <c r="N40" s="187" t="str">
        <f>IF(VLOOKUP(A40,Schiedsrichter!$A$3:$I$176,9,FALSE)=0,"-",VLOOKUP(A40,Schiedsrichter!$A$3:$I$176,9,FALSE))</f>
        <v>KRM Essen</v>
      </c>
      <c r="P40" s="1" t="str">
        <f t="shared" si="5"/>
        <v>na</v>
      </c>
      <c r="Q40" s="1" t="str">
        <f t="shared" si="18"/>
        <v>KSV Glauchau</v>
      </c>
      <c r="R40" s="1">
        <f t="shared" si="6"/>
      </c>
      <c r="S40" s="1">
        <f t="shared" si="7"/>
      </c>
      <c r="T40" s="1">
        <f t="shared" si="8"/>
      </c>
      <c r="U40" s="1">
        <f t="shared" si="9"/>
      </c>
      <c r="V40" s="1">
        <f t="shared" si="10"/>
      </c>
      <c r="W40" s="1" t="str">
        <f t="shared" si="11"/>
        <v>KGW Essen</v>
      </c>
      <c r="X40" s="1">
        <f t="shared" si="12"/>
      </c>
      <c r="Y40" s="1">
        <f t="shared" si="13"/>
      </c>
      <c r="Z40" s="1">
        <f t="shared" si="14"/>
      </c>
      <c r="AA40" s="1">
        <f t="shared" si="15"/>
      </c>
      <c r="AB40" s="1">
        <f t="shared" si="16"/>
      </c>
      <c r="AD40" s="1">
        <f>RANK(BU40,$BU$40:$BU$51,1)</f>
        <v>12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0</v>
      </c>
      <c r="AH40" s="1">
        <f t="shared" si="27"/>
        <v>0</v>
      </c>
      <c r="AI40" s="1">
        <f t="shared" si="27"/>
        <v>0</v>
      </c>
      <c r="AJ40" s="1">
        <f t="shared" si="27"/>
        <v>0</v>
      </c>
      <c r="AK40" s="1">
        <f t="shared" si="27"/>
        <v>0</v>
      </c>
      <c r="AL40" s="1">
        <f>AG40*3+AH40*1</f>
        <v>0</v>
      </c>
      <c r="AM40" s="1">
        <f>AL40*99999999+(AJ40-AK40)*888888+AJ40*7777</f>
        <v>0</v>
      </c>
      <c r="AN40" s="1">
        <f>RANK(AM40,AM$40:AM$51,0)</f>
        <v>1</v>
      </c>
      <c r="AO40" s="1">
        <f>IF(COUNTIF(AN$40:AN40,AN40)&gt;1,1,0)</f>
        <v>0</v>
      </c>
      <c r="AP40" s="1">
        <f>AO40+AM40</f>
        <v>0</v>
      </c>
      <c r="AQ40" s="1">
        <f>RANK(AP40,AP$40:AP$51,0)</f>
        <v>12</v>
      </c>
      <c r="AR40" s="1">
        <f>IF(COUNTIF(AQ$40:AQ40,AQ40)&gt;1,1,0)</f>
        <v>0</v>
      </c>
      <c r="AS40" s="1">
        <f>AR40+AP40</f>
        <v>0</v>
      </c>
      <c r="AT40" s="1">
        <f>RANK(AS40,AS$40:AS$51,0)</f>
        <v>12</v>
      </c>
      <c r="AU40" s="1">
        <f>IF(COUNTIF(AT$40:AT40,AT40)&gt;1,1,0)</f>
        <v>0</v>
      </c>
      <c r="AV40" s="1">
        <f>AU40+AS40</f>
        <v>0</v>
      </c>
      <c r="AW40" s="1">
        <f>RANK(AV40,AV$40:AV$51,0)</f>
        <v>12</v>
      </c>
      <c r="AX40" s="1">
        <f>IF(COUNTIF(AW$40:AW40,AW40)&gt;1,1,0)</f>
        <v>0</v>
      </c>
      <c r="AY40" s="1">
        <f>AX40+AV40</f>
        <v>0</v>
      </c>
      <c r="AZ40" s="1">
        <f>RANK(AY40,AY$40:AY$51,0)</f>
        <v>12</v>
      </c>
      <c r="BA40" s="1">
        <f>IF(COUNTIF(AZ$40:AZ40,AZ40)&gt;1,1,0)</f>
        <v>0</v>
      </c>
      <c r="BB40" s="1">
        <f>BA40+AY40</f>
        <v>0</v>
      </c>
      <c r="BC40" s="1">
        <f>RANK(BB40,BB$40:BB$51,0)</f>
        <v>12</v>
      </c>
      <c r="BD40" s="1">
        <f>IF(COUNTIF(BC$40:BC40,BC40)&gt;1,1,0)</f>
        <v>0</v>
      </c>
      <c r="BE40" s="1">
        <f>BD40+BB40</f>
        <v>0</v>
      </c>
      <c r="BF40" s="1">
        <f>RANK(BE40,BE$40:BE$51,0)</f>
        <v>12</v>
      </c>
      <c r="BG40" s="1">
        <f>IF(COUNTIF(BF$40:BF40,BF40)&gt;1,1,0)</f>
        <v>0</v>
      </c>
      <c r="BH40" s="1">
        <f>BG40+BE40</f>
        <v>0</v>
      </c>
      <c r="BI40" s="1">
        <f>RANK(BH40,BH$40:BH$51,0)</f>
        <v>12</v>
      </c>
      <c r="BJ40" s="1">
        <f>IF(COUNTIF(BI$40:BI40,BI40)&gt;1,1,0)</f>
        <v>0</v>
      </c>
      <c r="BK40" s="1">
        <f>BJ40+BH40</f>
        <v>0</v>
      </c>
      <c r="BL40" s="1">
        <f>RANK(BK40,BK$40:BK$51,0)</f>
        <v>12</v>
      </c>
      <c r="BM40" s="1">
        <f>IF(COUNTIF(BL$40:BL40,BL40)&gt;1,1,0)</f>
        <v>0</v>
      </c>
      <c r="BN40" s="1">
        <f>BM40+BK40</f>
        <v>0</v>
      </c>
      <c r="BO40" s="1">
        <f>RANK(BN40,BN$40:BN$51,0)</f>
        <v>12</v>
      </c>
      <c r="BP40" s="1">
        <f>IF(COUNTIF(BO$40:BO40,BO40)&gt;1,1,0)</f>
        <v>0</v>
      </c>
      <c r="BQ40" s="1">
        <f>BP40+BN40</f>
        <v>0</v>
      </c>
      <c r="BR40" s="1">
        <f>RANK(BQ40,BQ$40:BQ$51,0)</f>
        <v>12</v>
      </c>
      <c r="BS40" s="1">
        <f>IF(COUNTIF(BR$40:BR40,BR40)&gt;1,1,0)</f>
        <v>0</v>
      </c>
      <c r="BT40" s="1">
        <f>BS40+BQ40</f>
        <v>0</v>
      </c>
      <c r="BU40" s="1">
        <f>RANK(BT40,BT$40:BT$51,0)</f>
        <v>12</v>
      </c>
    </row>
    <row r="41" spans="1:73" ht="16.5">
      <c r="A41" s="34">
        <f t="shared" si="25"/>
        <v>129</v>
      </c>
      <c r="B41" s="34" t="s">
        <v>27</v>
      </c>
      <c r="C41" s="34">
        <v>1</v>
      </c>
      <c r="D41" s="35">
        <v>0.5520833333333334</v>
      </c>
      <c r="E41" s="34" t="s">
        <v>55</v>
      </c>
      <c r="F41" s="34" t="str">
        <f>Saisondaten!$C$30</f>
        <v>KCNW Berlin</v>
      </c>
      <c r="G41" s="34" t="s">
        <v>43</v>
      </c>
      <c r="H41" s="34" t="str">
        <f>Saisondaten!$B$32</f>
        <v>KC Wetter</v>
      </c>
      <c r="I41" s="36"/>
      <c r="J41" s="34" t="s">
        <v>43</v>
      </c>
      <c r="K41" s="36"/>
      <c r="L41" s="194" t="str">
        <f>IF(VLOOKUP(A41,Schiedsrichter!$A$3:$I$176,8,FALSE)=0,"-",VLOOKUP(A41,Schiedsrichter!$A$3:$I$176,8,FALSE))</f>
        <v>VK Berlin</v>
      </c>
      <c r="M41" s="199" t="s">
        <v>249</v>
      </c>
      <c r="N41" s="197" t="str">
        <f>IF(VLOOKUP(A41,Schiedsrichter!$A$3:$I$176,9,FALSE)=0,"-",VLOOKUP(A41,Schiedsrichter!$A$3:$I$176,9,FALSE))</f>
        <v>1. MKC Duisburg</v>
      </c>
      <c r="P41" s="1" t="str">
        <f t="shared" si="5"/>
        <v>na</v>
      </c>
      <c r="Q41" s="1" t="str">
        <f t="shared" si="18"/>
        <v>KCNW Berlin</v>
      </c>
      <c r="R41" s="1">
        <f t="shared" si="6"/>
      </c>
      <c r="S41" s="1">
        <f t="shared" si="7"/>
      </c>
      <c r="T41" s="1">
        <f t="shared" si="8"/>
      </c>
      <c r="U41" s="1">
        <f t="shared" si="9"/>
      </c>
      <c r="V41" s="1">
        <f t="shared" si="10"/>
      </c>
      <c r="W41" s="1" t="str">
        <f t="shared" si="11"/>
        <v>KC Wetter</v>
      </c>
      <c r="X41" s="1">
        <f t="shared" si="12"/>
      </c>
      <c r="Y41" s="1">
        <f t="shared" si="13"/>
      </c>
      <c r="Z41" s="1">
        <f t="shared" si="14"/>
      </c>
      <c r="AA41" s="1">
        <f t="shared" si="15"/>
      </c>
      <c r="AB41" s="1">
        <f t="shared" si="16"/>
      </c>
      <c r="AD41" s="1">
        <f aca="true" t="shared" si="28" ref="AD41:AD51">RANK(BU41,$BU$40:$BU$51,1)</f>
        <v>11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0</v>
      </c>
      <c r="AH41" s="1">
        <f t="shared" si="27"/>
        <v>0</v>
      </c>
      <c r="AI41" s="1">
        <f t="shared" si="27"/>
        <v>0</v>
      </c>
      <c r="AJ41" s="1">
        <f t="shared" si="27"/>
        <v>0</v>
      </c>
      <c r="AK41" s="1">
        <f t="shared" si="27"/>
        <v>0</v>
      </c>
      <c r="AL41" s="1">
        <f aca="true" t="shared" si="29" ref="AL41:AL51">AG41*3+AH41*1</f>
        <v>0</v>
      </c>
      <c r="AM41" s="1">
        <f aca="true" t="shared" si="30" ref="AM41:AM51">AL41*99999999+(AJ41-AK41)*888888+AJ41*7777</f>
        <v>0</v>
      </c>
      <c r="AN41" s="1">
        <f aca="true" t="shared" si="31" ref="AN41:AN51">RANK(AM41,$AM$40:$AM$51,0)</f>
        <v>1</v>
      </c>
      <c r="AO41" s="1">
        <f>IF(COUNTIF(AN$40:AN41,AN41)&gt;1,1,0)</f>
        <v>1</v>
      </c>
      <c r="AP41" s="1">
        <f aca="true" t="shared" si="32" ref="AP41:AP51">AO41+AM41</f>
        <v>1</v>
      </c>
      <c r="AQ41" s="1">
        <f aca="true" t="shared" si="33" ref="AQ41:AQ51">RANK(AP41,AP$40:AP$51,0)</f>
        <v>1</v>
      </c>
      <c r="AR41" s="1">
        <f>IF(COUNTIF(AQ$40:AQ41,AQ41)&gt;1,1,0)</f>
        <v>0</v>
      </c>
      <c r="AS41" s="1">
        <f aca="true" t="shared" si="34" ref="AS41:AS51">AR41+AP41</f>
        <v>1</v>
      </c>
      <c r="AT41" s="1">
        <f aca="true" t="shared" si="35" ref="AT41:AT51">RANK(AS41,AS$40:AS$51,0)</f>
        <v>11</v>
      </c>
      <c r="AU41" s="1">
        <f>IF(COUNTIF(AT$40:AT41,AT41)&gt;1,1,0)</f>
        <v>0</v>
      </c>
      <c r="AV41" s="1">
        <f aca="true" t="shared" si="36" ref="AV41:AV51">AU41+AS41</f>
        <v>1</v>
      </c>
      <c r="AW41" s="1">
        <f aca="true" t="shared" si="37" ref="AW41:AW51">RANK(AV41,AV$40:AV$51,0)</f>
        <v>11</v>
      </c>
      <c r="AX41" s="1">
        <f>IF(COUNTIF(AW$40:AW41,AW41)&gt;1,1,0)</f>
        <v>0</v>
      </c>
      <c r="AY41" s="1">
        <f aca="true" t="shared" si="38" ref="AY41:AY51">AX41+AV41</f>
        <v>1</v>
      </c>
      <c r="AZ41" s="1">
        <f aca="true" t="shared" si="39" ref="AZ41:AZ51">RANK(AY41,AY$40:AY$51,0)</f>
        <v>11</v>
      </c>
      <c r="BA41" s="1">
        <f>IF(COUNTIF(AZ$40:AZ41,AZ41)&gt;1,1,0)</f>
        <v>0</v>
      </c>
      <c r="BB41" s="1">
        <f aca="true" t="shared" si="40" ref="BB41:BB51">BA41+AY41</f>
        <v>1</v>
      </c>
      <c r="BC41" s="1">
        <f aca="true" t="shared" si="41" ref="BC41:BC51">RANK(BB41,BB$40:BB$51,0)</f>
        <v>11</v>
      </c>
      <c r="BD41" s="1">
        <f>IF(COUNTIF(BC$40:BC41,BC41)&gt;1,1,0)</f>
        <v>0</v>
      </c>
      <c r="BE41" s="1">
        <f aca="true" t="shared" si="42" ref="BE41:BE51">BD41+BB41</f>
        <v>1</v>
      </c>
      <c r="BF41" s="1">
        <f aca="true" t="shared" si="43" ref="BF41:BF51">RANK(BE41,BE$40:BE$51,0)</f>
        <v>11</v>
      </c>
      <c r="BG41" s="1">
        <f>IF(COUNTIF(BF$40:BF41,BF41)&gt;1,1,0)</f>
        <v>0</v>
      </c>
      <c r="BH41" s="1">
        <f aca="true" t="shared" si="44" ref="BH41:BH51">BG41+BE41</f>
        <v>1</v>
      </c>
      <c r="BI41" s="1">
        <f aca="true" t="shared" si="45" ref="BI41:BI51">RANK(BH41,BH$40:BH$51,0)</f>
        <v>11</v>
      </c>
      <c r="BJ41" s="1">
        <f>IF(COUNTIF(BI$40:BI41,BI41)&gt;1,1,0)</f>
        <v>0</v>
      </c>
      <c r="BK41" s="1">
        <f aca="true" t="shared" si="46" ref="BK41:BK51">BJ41+BH41</f>
        <v>1</v>
      </c>
      <c r="BL41" s="1">
        <f aca="true" t="shared" si="47" ref="BL41:BL51">RANK(BK41,BK$40:BK$51,0)</f>
        <v>11</v>
      </c>
      <c r="BM41" s="1">
        <f>IF(COUNTIF(BL$40:BL41,BL41)&gt;1,1,0)</f>
        <v>0</v>
      </c>
      <c r="BN41" s="1">
        <f aca="true" t="shared" si="48" ref="BN41:BN51">BM41+BK41</f>
        <v>1</v>
      </c>
      <c r="BO41" s="1">
        <f aca="true" t="shared" si="49" ref="BO41:BO51">RANK(BN41,BN$40:BN$51,0)</f>
        <v>11</v>
      </c>
      <c r="BP41" s="1">
        <f>IF(COUNTIF(BO$40:BO41,BO41)&gt;1,1,0)</f>
        <v>0</v>
      </c>
      <c r="BQ41" s="1">
        <f aca="true" t="shared" si="50" ref="BQ41:BQ51">BP41+BN41</f>
        <v>1</v>
      </c>
      <c r="BR41" s="1">
        <f aca="true" t="shared" si="51" ref="BR41:BR51">RANK(BQ41,BQ$40:BQ$51,0)</f>
        <v>11</v>
      </c>
      <c r="BS41" s="1">
        <f>IF(COUNTIF(BR$40:BR41,BR41)&gt;1,1,0)</f>
        <v>0</v>
      </c>
      <c r="BT41" s="1">
        <f aca="true" t="shared" si="52" ref="BT41:BT51">BS41+BQ41</f>
        <v>1</v>
      </c>
      <c r="BU41" s="1">
        <f aca="true" t="shared" si="53" ref="BU41:BU51">RANK(BT41,BT$40:BT$51,0)</f>
        <v>11</v>
      </c>
    </row>
    <row r="42" spans="1:73" ht="16.5">
      <c r="A42" s="34">
        <f t="shared" si="25"/>
        <v>130</v>
      </c>
      <c r="B42" s="34" t="s">
        <v>27</v>
      </c>
      <c r="C42" s="34">
        <v>2</v>
      </c>
      <c r="D42" s="35">
        <v>0.5520833333333334</v>
      </c>
      <c r="E42" s="34" t="s">
        <v>55</v>
      </c>
      <c r="F42" s="34" t="str">
        <f>Saisondaten!$C$31</f>
        <v>KSVH Berlin</v>
      </c>
      <c r="G42" s="34" t="s">
        <v>43</v>
      </c>
      <c r="H42" s="34" t="str">
        <f>Saisondaten!$B$33</f>
        <v>Göttinger PC</v>
      </c>
      <c r="I42" s="36"/>
      <c r="J42" s="34" t="s">
        <v>43</v>
      </c>
      <c r="K42" s="36"/>
      <c r="L42" s="194" t="str">
        <f>IF(VLOOKUP(A42,Schiedsrichter!$A$3:$I$176,8,FALSE)=0,"-",VLOOKUP(A42,Schiedsrichter!$A$3:$I$176,8,FALSE))</f>
        <v>KSV Glauchau</v>
      </c>
      <c r="M42" s="199" t="s">
        <v>249</v>
      </c>
      <c r="N42" s="197" t="str">
        <f>IF(VLOOKUP(A42,Schiedsrichter!$A$3:$I$176,9,FALSE)=0,"-",VLOOKUP(A42,Schiedsrichter!$A$3:$I$176,9,FALSE))</f>
        <v>KGW Essen</v>
      </c>
      <c r="P42" s="1" t="str">
        <f t="shared" si="5"/>
        <v>na</v>
      </c>
      <c r="Q42" s="1" t="str">
        <f t="shared" si="18"/>
        <v>KSVH Berlin</v>
      </c>
      <c r="R42" s="1">
        <f t="shared" si="6"/>
      </c>
      <c r="S42" s="1">
        <f t="shared" si="7"/>
      </c>
      <c r="T42" s="1">
        <f t="shared" si="8"/>
      </c>
      <c r="U42" s="1">
        <f t="shared" si="9"/>
      </c>
      <c r="V42" s="1">
        <f t="shared" si="10"/>
      </c>
      <c r="W42" s="1" t="str">
        <f t="shared" si="11"/>
        <v>Göttinger PC</v>
      </c>
      <c r="X42" s="1">
        <f t="shared" si="12"/>
      </c>
      <c r="Y42" s="1">
        <f t="shared" si="13"/>
      </c>
      <c r="Z42" s="1">
        <f t="shared" si="14"/>
      </c>
      <c r="AA42" s="1">
        <f t="shared" si="15"/>
      </c>
      <c r="AB42" s="1">
        <f t="shared" si="16"/>
      </c>
      <c r="AD42" s="1">
        <f t="shared" si="28"/>
        <v>10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0</v>
      </c>
      <c r="AH42" s="1">
        <f t="shared" si="27"/>
        <v>0</v>
      </c>
      <c r="AI42" s="1">
        <f t="shared" si="27"/>
        <v>0</v>
      </c>
      <c r="AJ42" s="1">
        <f t="shared" si="27"/>
        <v>0</v>
      </c>
      <c r="AK42" s="1">
        <f t="shared" si="27"/>
        <v>0</v>
      </c>
      <c r="AL42" s="1">
        <f t="shared" si="29"/>
        <v>0</v>
      </c>
      <c r="AM42" s="1">
        <f t="shared" si="30"/>
        <v>0</v>
      </c>
      <c r="AN42" s="1">
        <f t="shared" si="31"/>
        <v>1</v>
      </c>
      <c r="AO42" s="1">
        <f>IF(COUNTIF(AN$40:AN42,AN42)&gt;1,1,0)</f>
        <v>1</v>
      </c>
      <c r="AP42" s="1">
        <f t="shared" si="32"/>
        <v>1</v>
      </c>
      <c r="AQ42" s="1">
        <f t="shared" si="33"/>
        <v>1</v>
      </c>
      <c r="AR42" s="1">
        <f>IF(COUNTIF(AQ$40:AQ42,AQ42)&gt;1,1,0)</f>
        <v>1</v>
      </c>
      <c r="AS42" s="1">
        <f t="shared" si="34"/>
        <v>2</v>
      </c>
      <c r="AT42" s="1">
        <f t="shared" si="35"/>
        <v>1</v>
      </c>
      <c r="AU42" s="1">
        <f>IF(COUNTIF(AT$40:AT42,AT42)&gt;1,1,0)</f>
        <v>0</v>
      </c>
      <c r="AV42" s="1">
        <f t="shared" si="36"/>
        <v>2</v>
      </c>
      <c r="AW42" s="1">
        <f t="shared" si="37"/>
        <v>10</v>
      </c>
      <c r="AX42" s="1">
        <f>IF(COUNTIF(AW$40:AW42,AW42)&gt;1,1,0)</f>
        <v>0</v>
      </c>
      <c r="AY42" s="1">
        <f t="shared" si="38"/>
        <v>2</v>
      </c>
      <c r="AZ42" s="1">
        <f t="shared" si="39"/>
        <v>10</v>
      </c>
      <c r="BA42" s="1">
        <f>IF(COUNTIF(AZ$40:AZ42,AZ42)&gt;1,1,0)</f>
        <v>0</v>
      </c>
      <c r="BB42" s="1">
        <f t="shared" si="40"/>
        <v>2</v>
      </c>
      <c r="BC42" s="1">
        <f t="shared" si="41"/>
        <v>10</v>
      </c>
      <c r="BD42" s="1">
        <f>IF(COUNTIF(BC$40:BC42,BC42)&gt;1,1,0)</f>
        <v>0</v>
      </c>
      <c r="BE42" s="1">
        <f t="shared" si="42"/>
        <v>2</v>
      </c>
      <c r="BF42" s="1">
        <f t="shared" si="43"/>
        <v>10</v>
      </c>
      <c r="BG42" s="1">
        <f>IF(COUNTIF(BF$40:BF42,BF42)&gt;1,1,0)</f>
        <v>0</v>
      </c>
      <c r="BH42" s="1">
        <f t="shared" si="44"/>
        <v>2</v>
      </c>
      <c r="BI42" s="1">
        <f t="shared" si="45"/>
        <v>10</v>
      </c>
      <c r="BJ42" s="1">
        <f>IF(COUNTIF(BI$40:BI42,BI42)&gt;1,1,0)</f>
        <v>0</v>
      </c>
      <c r="BK42" s="1">
        <f t="shared" si="46"/>
        <v>2</v>
      </c>
      <c r="BL42" s="1">
        <f t="shared" si="47"/>
        <v>10</v>
      </c>
      <c r="BM42" s="1">
        <f>IF(COUNTIF(BL$40:BL42,BL42)&gt;1,1,0)</f>
        <v>0</v>
      </c>
      <c r="BN42" s="1">
        <f t="shared" si="48"/>
        <v>2</v>
      </c>
      <c r="BO42" s="1">
        <f t="shared" si="49"/>
        <v>10</v>
      </c>
      <c r="BP42" s="1">
        <f>IF(COUNTIF(BO$40:BO42,BO42)&gt;1,1,0)</f>
        <v>0</v>
      </c>
      <c r="BQ42" s="1">
        <f t="shared" si="50"/>
        <v>2</v>
      </c>
      <c r="BR42" s="1">
        <f t="shared" si="51"/>
        <v>10</v>
      </c>
      <c r="BS42" s="1">
        <f>IF(COUNTIF(BR$40:BR42,BR42)&gt;1,1,0)</f>
        <v>0</v>
      </c>
      <c r="BT42" s="1">
        <f t="shared" si="52"/>
        <v>2</v>
      </c>
      <c r="BU42" s="1">
        <f t="shared" si="53"/>
        <v>10</v>
      </c>
    </row>
    <row r="43" spans="1:73" ht="16.5">
      <c r="A43" s="15">
        <f t="shared" si="25"/>
        <v>131</v>
      </c>
      <c r="B43" s="15" t="s">
        <v>27</v>
      </c>
      <c r="C43" s="15">
        <v>1</v>
      </c>
      <c r="D43" s="16">
        <v>0.5833333333333334</v>
      </c>
      <c r="E43" s="15" t="s">
        <v>55</v>
      </c>
      <c r="F43" s="15" t="str">
        <f>Saisondaten!$C$28</f>
        <v>RSV Hannover</v>
      </c>
      <c r="G43" s="15" t="s">
        <v>43</v>
      </c>
      <c r="H43" s="15" t="str">
        <f>Saisondaten!$B$28</f>
        <v>KRM Essen</v>
      </c>
      <c r="I43" s="22"/>
      <c r="J43" s="15" t="s">
        <v>43</v>
      </c>
      <c r="K43" s="22"/>
      <c r="L43" s="181" t="str">
        <f>IF(VLOOKUP(A43,Schiedsrichter!$A$3:$I$176,8,FALSE)=0,"-",VLOOKUP(A43,Schiedsrichter!$A$3:$I$176,8,FALSE))</f>
        <v>KCNW Berlin</v>
      </c>
      <c r="M43" s="175" t="s">
        <v>249</v>
      </c>
      <c r="N43" s="187" t="str">
        <f>IF(VLOOKUP(A43,Schiedsrichter!$A$3:$I$176,9,FALSE)=0,"-",VLOOKUP(A43,Schiedsrichter!$A$3:$I$176,9,FALSE))</f>
        <v>KC Wetter</v>
      </c>
      <c r="P43" s="1" t="str">
        <f t="shared" si="5"/>
        <v>na</v>
      </c>
      <c r="Q43" s="1" t="str">
        <f t="shared" si="18"/>
        <v>RSV Hannover</v>
      </c>
      <c r="R43" s="1">
        <f t="shared" si="6"/>
      </c>
      <c r="S43" s="1">
        <f t="shared" si="7"/>
      </c>
      <c r="T43" s="1">
        <f t="shared" si="8"/>
      </c>
      <c r="U43" s="1">
        <f t="shared" si="9"/>
      </c>
      <c r="V43" s="1">
        <f t="shared" si="10"/>
      </c>
      <c r="W43" s="1" t="str">
        <f t="shared" si="11"/>
        <v>KRM Essen</v>
      </c>
      <c r="X43" s="1">
        <f t="shared" si="12"/>
      </c>
      <c r="Y43" s="1">
        <f t="shared" si="13"/>
      </c>
      <c r="Z43" s="1">
        <f t="shared" si="14"/>
      </c>
      <c r="AA43" s="1">
        <f t="shared" si="15"/>
      </c>
      <c r="AB43" s="1">
        <f t="shared" si="16"/>
      </c>
      <c r="AD43" s="1">
        <f t="shared" si="28"/>
        <v>9</v>
      </c>
      <c r="AE43" s="1" t="str">
        <f t="shared" si="26"/>
        <v>KC Wetter</v>
      </c>
      <c r="AF43" s="1" t="str">
        <f>Saisondaten!$B$17</f>
        <v>A</v>
      </c>
      <c r="AG43" s="1">
        <f t="shared" si="27"/>
        <v>0</v>
      </c>
      <c r="AH43" s="1">
        <f t="shared" si="27"/>
        <v>0</v>
      </c>
      <c r="AI43" s="1">
        <f t="shared" si="27"/>
        <v>0</v>
      </c>
      <c r="AJ43" s="1">
        <f t="shared" si="27"/>
        <v>0</v>
      </c>
      <c r="AK43" s="1">
        <f t="shared" si="27"/>
        <v>0</v>
      </c>
      <c r="AL43" s="1">
        <f t="shared" si="29"/>
        <v>0</v>
      </c>
      <c r="AM43" s="1">
        <f t="shared" si="30"/>
        <v>0</v>
      </c>
      <c r="AN43" s="1">
        <f t="shared" si="31"/>
        <v>1</v>
      </c>
      <c r="AO43" s="1">
        <f>IF(COUNTIF(AN$40:AN43,AN43)&gt;1,1,0)</f>
        <v>1</v>
      </c>
      <c r="AP43" s="1">
        <f t="shared" si="32"/>
        <v>1</v>
      </c>
      <c r="AQ43" s="1">
        <f t="shared" si="33"/>
        <v>1</v>
      </c>
      <c r="AR43" s="1">
        <f>IF(COUNTIF(AQ$40:AQ43,AQ43)&gt;1,1,0)</f>
        <v>1</v>
      </c>
      <c r="AS43" s="1">
        <f t="shared" si="34"/>
        <v>2</v>
      </c>
      <c r="AT43" s="1">
        <f t="shared" si="35"/>
        <v>1</v>
      </c>
      <c r="AU43" s="1">
        <f>IF(COUNTIF(AT$40:AT43,AT43)&gt;1,1,0)</f>
        <v>1</v>
      </c>
      <c r="AV43" s="1">
        <f t="shared" si="36"/>
        <v>3</v>
      </c>
      <c r="AW43" s="1">
        <f t="shared" si="37"/>
        <v>1</v>
      </c>
      <c r="AX43" s="1">
        <f>IF(COUNTIF(AW$40:AW43,AW43)&gt;1,1,0)</f>
        <v>0</v>
      </c>
      <c r="AY43" s="1">
        <f t="shared" si="38"/>
        <v>3</v>
      </c>
      <c r="AZ43" s="1">
        <f t="shared" si="39"/>
        <v>9</v>
      </c>
      <c r="BA43" s="1">
        <f>IF(COUNTIF(AZ$40:AZ43,AZ43)&gt;1,1,0)</f>
        <v>0</v>
      </c>
      <c r="BB43" s="1">
        <f t="shared" si="40"/>
        <v>3</v>
      </c>
      <c r="BC43" s="1">
        <f t="shared" si="41"/>
        <v>9</v>
      </c>
      <c r="BD43" s="1">
        <f>IF(COUNTIF(BC$40:BC43,BC43)&gt;1,1,0)</f>
        <v>0</v>
      </c>
      <c r="BE43" s="1">
        <f t="shared" si="42"/>
        <v>3</v>
      </c>
      <c r="BF43" s="1">
        <f t="shared" si="43"/>
        <v>9</v>
      </c>
      <c r="BG43" s="1">
        <f>IF(COUNTIF(BF$40:BF43,BF43)&gt;1,1,0)</f>
        <v>0</v>
      </c>
      <c r="BH43" s="1">
        <f t="shared" si="44"/>
        <v>3</v>
      </c>
      <c r="BI43" s="1">
        <f t="shared" si="45"/>
        <v>9</v>
      </c>
      <c r="BJ43" s="1">
        <f>IF(COUNTIF(BI$40:BI43,BI43)&gt;1,1,0)</f>
        <v>0</v>
      </c>
      <c r="BK43" s="1">
        <f t="shared" si="46"/>
        <v>3</v>
      </c>
      <c r="BL43" s="1">
        <f t="shared" si="47"/>
        <v>9</v>
      </c>
      <c r="BM43" s="1">
        <f>IF(COUNTIF(BL$40:BL43,BL43)&gt;1,1,0)</f>
        <v>0</v>
      </c>
      <c r="BN43" s="1">
        <f t="shared" si="48"/>
        <v>3</v>
      </c>
      <c r="BO43" s="1">
        <f t="shared" si="49"/>
        <v>9</v>
      </c>
      <c r="BP43" s="1">
        <f>IF(COUNTIF(BO$40:BO43,BO43)&gt;1,1,0)</f>
        <v>0</v>
      </c>
      <c r="BQ43" s="1">
        <f t="shared" si="50"/>
        <v>3</v>
      </c>
      <c r="BR43" s="1">
        <f t="shared" si="51"/>
        <v>9</v>
      </c>
      <c r="BS43" s="1">
        <f>IF(COUNTIF(BR$40:BR43,BR43)&gt;1,1,0)</f>
        <v>0</v>
      </c>
      <c r="BT43" s="1">
        <f t="shared" si="52"/>
        <v>3</v>
      </c>
      <c r="BU43" s="1">
        <f t="shared" si="53"/>
        <v>9</v>
      </c>
    </row>
    <row r="44" spans="1:73" ht="16.5">
      <c r="A44" s="17">
        <f t="shared" si="25"/>
        <v>132</v>
      </c>
      <c r="B44" s="17" t="s">
        <v>27</v>
      </c>
      <c r="C44" s="17">
        <v>2</v>
      </c>
      <c r="D44" s="18">
        <v>0.5833333333333334</v>
      </c>
      <c r="E44" s="17" t="s">
        <v>55</v>
      </c>
      <c r="F44" s="17" t="str">
        <f>Saisondaten!$C$29</f>
        <v>ACC Hamburg</v>
      </c>
      <c r="G44" s="17" t="s">
        <v>43</v>
      </c>
      <c r="H44" s="17" t="str">
        <f>Saisondaten!$B$29</f>
        <v>WSF Liblar</v>
      </c>
      <c r="I44" s="24"/>
      <c r="J44" s="17" t="s">
        <v>43</v>
      </c>
      <c r="K44" s="24"/>
      <c r="L44" s="183" t="str">
        <f>IF(VLOOKUP(A44,Schiedsrichter!$A$3:$I$176,8,FALSE)=0,"-",VLOOKUP(A44,Schiedsrichter!$A$3:$I$176,8,FALSE))</f>
        <v>KSVH Berlin</v>
      </c>
      <c r="M44" s="177" t="s">
        <v>249</v>
      </c>
      <c r="N44" s="189" t="str">
        <f>IF(VLOOKUP(A44,Schiedsrichter!$A$3:$I$176,9,FALSE)=0,"-",VLOOKUP(A44,Schiedsrichter!$A$3:$I$176,9,FALSE))</f>
        <v>Göttinger PC</v>
      </c>
      <c r="P44" s="1" t="str">
        <f t="shared" si="5"/>
        <v>na</v>
      </c>
      <c r="Q44" s="1" t="str">
        <f t="shared" si="18"/>
        <v>ACC Hamburg</v>
      </c>
      <c r="R44" s="1">
        <f t="shared" si="6"/>
      </c>
      <c r="S44" s="1">
        <f t="shared" si="7"/>
      </c>
      <c r="T44" s="1">
        <f t="shared" si="8"/>
      </c>
      <c r="U44" s="1">
        <f t="shared" si="9"/>
      </c>
      <c r="V44" s="1">
        <f t="shared" si="10"/>
      </c>
      <c r="W44" s="1" t="str">
        <f t="shared" si="11"/>
        <v>WSF Liblar</v>
      </c>
      <c r="X44" s="1">
        <f t="shared" si="12"/>
      </c>
      <c r="Y44" s="1">
        <f t="shared" si="13"/>
      </c>
      <c r="Z44" s="1">
        <f t="shared" si="14"/>
      </c>
      <c r="AA44" s="1">
        <f t="shared" si="15"/>
      </c>
      <c r="AB44" s="1">
        <f t="shared" si="16"/>
      </c>
      <c r="AD44" s="1">
        <f t="shared" si="28"/>
        <v>8</v>
      </c>
      <c r="AE44" s="1" t="str">
        <f t="shared" si="26"/>
        <v>KGW Essen</v>
      </c>
      <c r="AF44" s="1" t="str">
        <f>Saisondaten!$B$17</f>
        <v>A</v>
      </c>
      <c r="AG44" s="1">
        <f t="shared" si="27"/>
        <v>0</v>
      </c>
      <c r="AH44" s="1">
        <f t="shared" si="27"/>
        <v>0</v>
      </c>
      <c r="AI44" s="1">
        <f t="shared" si="27"/>
        <v>0</v>
      </c>
      <c r="AJ44" s="1">
        <f t="shared" si="27"/>
        <v>0</v>
      </c>
      <c r="AK44" s="1">
        <f t="shared" si="27"/>
        <v>0</v>
      </c>
      <c r="AL44" s="1">
        <f t="shared" si="29"/>
        <v>0</v>
      </c>
      <c r="AM44" s="1">
        <f t="shared" si="30"/>
        <v>0</v>
      </c>
      <c r="AN44" s="1">
        <f t="shared" si="31"/>
        <v>1</v>
      </c>
      <c r="AO44" s="1">
        <f>IF(COUNTIF(AN$40:AN44,AN44)&gt;1,1,0)</f>
        <v>1</v>
      </c>
      <c r="AP44" s="1">
        <f t="shared" si="32"/>
        <v>1</v>
      </c>
      <c r="AQ44" s="1">
        <f t="shared" si="33"/>
        <v>1</v>
      </c>
      <c r="AR44" s="1">
        <f>IF(COUNTIF(AQ$40:AQ44,AQ44)&gt;1,1,0)</f>
        <v>1</v>
      </c>
      <c r="AS44" s="1">
        <f t="shared" si="34"/>
        <v>2</v>
      </c>
      <c r="AT44" s="1">
        <f t="shared" si="35"/>
        <v>1</v>
      </c>
      <c r="AU44" s="1">
        <f>IF(COUNTIF(AT$40:AT44,AT44)&gt;1,1,0)</f>
        <v>1</v>
      </c>
      <c r="AV44" s="1">
        <f t="shared" si="36"/>
        <v>3</v>
      </c>
      <c r="AW44" s="1">
        <f t="shared" si="37"/>
        <v>1</v>
      </c>
      <c r="AX44" s="1">
        <f>IF(COUNTIF(AW$40:AW44,AW44)&gt;1,1,0)</f>
        <v>1</v>
      </c>
      <c r="AY44" s="1">
        <f t="shared" si="38"/>
        <v>4</v>
      </c>
      <c r="AZ44" s="1">
        <f t="shared" si="39"/>
        <v>1</v>
      </c>
      <c r="BA44" s="1">
        <f>IF(COUNTIF(AZ$40:AZ44,AZ44)&gt;1,1,0)</f>
        <v>0</v>
      </c>
      <c r="BB44" s="1">
        <f t="shared" si="40"/>
        <v>4</v>
      </c>
      <c r="BC44" s="1">
        <f t="shared" si="41"/>
        <v>8</v>
      </c>
      <c r="BD44" s="1">
        <f>IF(COUNTIF(BC$40:BC44,BC44)&gt;1,1,0)</f>
        <v>0</v>
      </c>
      <c r="BE44" s="1">
        <f t="shared" si="42"/>
        <v>4</v>
      </c>
      <c r="BF44" s="1">
        <f t="shared" si="43"/>
        <v>8</v>
      </c>
      <c r="BG44" s="1">
        <f>IF(COUNTIF(BF$40:BF44,BF44)&gt;1,1,0)</f>
        <v>0</v>
      </c>
      <c r="BH44" s="1">
        <f t="shared" si="44"/>
        <v>4</v>
      </c>
      <c r="BI44" s="1">
        <f t="shared" si="45"/>
        <v>8</v>
      </c>
      <c r="BJ44" s="1">
        <f>IF(COUNTIF(BI$40:BI44,BI44)&gt;1,1,0)</f>
        <v>0</v>
      </c>
      <c r="BK44" s="1">
        <f t="shared" si="46"/>
        <v>4</v>
      </c>
      <c r="BL44" s="1">
        <f t="shared" si="47"/>
        <v>8</v>
      </c>
      <c r="BM44" s="1">
        <f>IF(COUNTIF(BL$40:BL44,BL44)&gt;1,1,0)</f>
        <v>0</v>
      </c>
      <c r="BN44" s="1">
        <f t="shared" si="48"/>
        <v>4</v>
      </c>
      <c r="BO44" s="1">
        <f t="shared" si="49"/>
        <v>8</v>
      </c>
      <c r="BP44" s="1">
        <f>IF(COUNTIF(BO$40:BO44,BO44)&gt;1,1,0)</f>
        <v>0</v>
      </c>
      <c r="BQ44" s="1">
        <f t="shared" si="50"/>
        <v>4</v>
      </c>
      <c r="BR44" s="1">
        <f t="shared" si="51"/>
        <v>8</v>
      </c>
      <c r="BS44" s="1">
        <f>IF(COUNTIF(BR$40:BR44,BR44)&gt;1,1,0)</f>
        <v>0</v>
      </c>
      <c r="BT44" s="1">
        <f t="shared" si="52"/>
        <v>4</v>
      </c>
      <c r="BU44" s="1">
        <f t="shared" si="53"/>
        <v>8</v>
      </c>
    </row>
    <row r="45" spans="4:73" ht="16.5">
      <c r="D45" s="2"/>
      <c r="M45" s="3"/>
      <c r="P45" s="1" t="str">
        <f t="shared" si="5"/>
        <v>na</v>
      </c>
      <c r="Q45" s="1">
        <f t="shared" si="18"/>
        <v>0</v>
      </c>
      <c r="R45" s="1">
        <f t="shared" si="6"/>
      </c>
      <c r="S45" s="1">
        <f t="shared" si="7"/>
      </c>
      <c r="T45" s="1">
        <f t="shared" si="8"/>
      </c>
      <c r="U45" s="1">
        <f t="shared" si="9"/>
      </c>
      <c r="V45" s="1">
        <f t="shared" si="10"/>
      </c>
      <c r="W45" s="1">
        <f t="shared" si="11"/>
        <v>0</v>
      </c>
      <c r="X45" s="1">
        <f t="shared" si="12"/>
      </c>
      <c r="Y45" s="1">
        <f t="shared" si="13"/>
      </c>
      <c r="Z45" s="1">
        <f t="shared" si="14"/>
      </c>
      <c r="AA45" s="1">
        <f t="shared" si="15"/>
      </c>
      <c r="AB45" s="1">
        <f t="shared" si="16"/>
      </c>
      <c r="AD45" s="1">
        <f t="shared" si="28"/>
        <v>7</v>
      </c>
      <c r="AE45" s="1" t="str">
        <f t="shared" si="26"/>
        <v>Göttinger PC</v>
      </c>
      <c r="AF45" s="1" t="str">
        <f>Saisondaten!$B$17</f>
        <v>A</v>
      </c>
      <c r="AG45" s="1">
        <f t="shared" si="27"/>
        <v>0</v>
      </c>
      <c r="AH45" s="1">
        <f t="shared" si="27"/>
        <v>0</v>
      </c>
      <c r="AI45" s="1">
        <f t="shared" si="27"/>
        <v>0</v>
      </c>
      <c r="AJ45" s="1">
        <f t="shared" si="27"/>
        <v>0</v>
      </c>
      <c r="AK45" s="1">
        <f t="shared" si="27"/>
        <v>0</v>
      </c>
      <c r="AL45" s="1">
        <f t="shared" si="29"/>
        <v>0</v>
      </c>
      <c r="AM45" s="1">
        <f t="shared" si="30"/>
        <v>0</v>
      </c>
      <c r="AN45" s="1">
        <f t="shared" si="31"/>
        <v>1</v>
      </c>
      <c r="AO45" s="1">
        <f>IF(COUNTIF(AN$40:AN45,AN45)&gt;1,1,0)</f>
        <v>1</v>
      </c>
      <c r="AP45" s="1">
        <f t="shared" si="32"/>
        <v>1</v>
      </c>
      <c r="AQ45" s="1">
        <f t="shared" si="33"/>
        <v>1</v>
      </c>
      <c r="AR45" s="1">
        <f>IF(COUNTIF(AQ$40:AQ45,AQ45)&gt;1,1,0)</f>
        <v>1</v>
      </c>
      <c r="AS45" s="1">
        <f t="shared" si="34"/>
        <v>2</v>
      </c>
      <c r="AT45" s="1">
        <f t="shared" si="35"/>
        <v>1</v>
      </c>
      <c r="AU45" s="1">
        <f>IF(COUNTIF(AT$40:AT45,AT45)&gt;1,1,0)</f>
        <v>1</v>
      </c>
      <c r="AV45" s="1">
        <f t="shared" si="36"/>
        <v>3</v>
      </c>
      <c r="AW45" s="1">
        <f t="shared" si="37"/>
        <v>1</v>
      </c>
      <c r="AX45" s="1">
        <f>IF(COUNTIF(AW$40:AW45,AW45)&gt;1,1,0)</f>
        <v>1</v>
      </c>
      <c r="AY45" s="1">
        <f t="shared" si="38"/>
        <v>4</v>
      </c>
      <c r="AZ45" s="1">
        <f t="shared" si="39"/>
        <v>1</v>
      </c>
      <c r="BA45" s="1">
        <f>IF(COUNTIF(AZ$40:AZ45,AZ45)&gt;1,1,0)</f>
        <v>1</v>
      </c>
      <c r="BB45" s="1">
        <f t="shared" si="40"/>
        <v>5</v>
      </c>
      <c r="BC45" s="1">
        <f t="shared" si="41"/>
        <v>1</v>
      </c>
      <c r="BD45" s="1">
        <f>IF(COUNTIF(BC$40:BC45,BC45)&gt;1,1,0)</f>
        <v>0</v>
      </c>
      <c r="BE45" s="1">
        <f t="shared" si="42"/>
        <v>5</v>
      </c>
      <c r="BF45" s="1">
        <f t="shared" si="43"/>
        <v>7</v>
      </c>
      <c r="BG45" s="1">
        <f>IF(COUNTIF(BF$40:BF45,BF45)&gt;1,1,0)</f>
        <v>0</v>
      </c>
      <c r="BH45" s="1">
        <f t="shared" si="44"/>
        <v>5</v>
      </c>
      <c r="BI45" s="1">
        <f t="shared" si="45"/>
        <v>7</v>
      </c>
      <c r="BJ45" s="1">
        <f>IF(COUNTIF(BI$40:BI45,BI45)&gt;1,1,0)</f>
        <v>0</v>
      </c>
      <c r="BK45" s="1">
        <f t="shared" si="46"/>
        <v>5</v>
      </c>
      <c r="BL45" s="1">
        <f t="shared" si="47"/>
        <v>7</v>
      </c>
      <c r="BM45" s="1">
        <f>IF(COUNTIF(BL$40:BL45,BL45)&gt;1,1,0)</f>
        <v>0</v>
      </c>
      <c r="BN45" s="1">
        <f t="shared" si="48"/>
        <v>5</v>
      </c>
      <c r="BO45" s="1">
        <f t="shared" si="49"/>
        <v>7</v>
      </c>
      <c r="BP45" s="1">
        <f>IF(COUNTIF(BO$40:BO45,BO45)&gt;1,1,0)</f>
        <v>0</v>
      </c>
      <c r="BQ45" s="1">
        <f t="shared" si="50"/>
        <v>5</v>
      </c>
      <c r="BR45" s="1">
        <f t="shared" si="51"/>
        <v>7</v>
      </c>
      <c r="BS45" s="1">
        <f>IF(COUNTIF(BR$40:BR45,BR45)&gt;1,1,0)</f>
        <v>0</v>
      </c>
      <c r="BT45" s="1">
        <f t="shared" si="52"/>
        <v>5</v>
      </c>
      <c r="BU45" s="1">
        <f t="shared" si="53"/>
        <v>7</v>
      </c>
    </row>
    <row r="46" spans="1:73" ht="7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AD46" s="1">
        <f t="shared" si="28"/>
        <v>6</v>
      </c>
      <c r="AE46" s="1" t="str">
        <f t="shared" si="26"/>
        <v>ACC Hamburg</v>
      </c>
      <c r="AF46" s="1" t="str">
        <f>Saisondaten!$C$17</f>
        <v>B</v>
      </c>
      <c r="AG46" s="1">
        <f t="shared" si="27"/>
        <v>0</v>
      </c>
      <c r="AH46" s="1">
        <f t="shared" si="27"/>
        <v>0</v>
      </c>
      <c r="AI46" s="1">
        <f t="shared" si="27"/>
        <v>0</v>
      </c>
      <c r="AJ46" s="1">
        <f t="shared" si="27"/>
        <v>0</v>
      </c>
      <c r="AK46" s="1">
        <f t="shared" si="27"/>
        <v>0</v>
      </c>
      <c r="AL46" s="1">
        <f t="shared" si="29"/>
        <v>0</v>
      </c>
      <c r="AM46" s="1">
        <f t="shared" si="30"/>
        <v>0</v>
      </c>
      <c r="AN46" s="1">
        <f t="shared" si="31"/>
        <v>1</v>
      </c>
      <c r="AO46" s="1">
        <f>IF(COUNTIF(AN$40:AN46,AN46)&gt;1,1,0)</f>
        <v>1</v>
      </c>
      <c r="AP46" s="1">
        <f t="shared" si="32"/>
        <v>1</v>
      </c>
      <c r="AQ46" s="1">
        <f t="shared" si="33"/>
        <v>1</v>
      </c>
      <c r="AR46" s="1">
        <f>IF(COUNTIF(AQ$40:AQ46,AQ46)&gt;1,1,0)</f>
        <v>1</v>
      </c>
      <c r="AS46" s="1">
        <f t="shared" si="34"/>
        <v>2</v>
      </c>
      <c r="AT46" s="1">
        <f t="shared" si="35"/>
        <v>1</v>
      </c>
      <c r="AU46" s="1">
        <f>IF(COUNTIF(AT$40:AT46,AT46)&gt;1,1,0)</f>
        <v>1</v>
      </c>
      <c r="AV46" s="1">
        <f t="shared" si="36"/>
        <v>3</v>
      </c>
      <c r="AW46" s="1">
        <f t="shared" si="37"/>
        <v>1</v>
      </c>
      <c r="AX46" s="1">
        <f>IF(COUNTIF(AW$40:AW46,AW46)&gt;1,1,0)</f>
        <v>1</v>
      </c>
      <c r="AY46" s="1">
        <f t="shared" si="38"/>
        <v>4</v>
      </c>
      <c r="AZ46" s="1">
        <f t="shared" si="39"/>
        <v>1</v>
      </c>
      <c r="BA46" s="1">
        <f>IF(COUNTIF(AZ$40:AZ46,AZ46)&gt;1,1,0)</f>
        <v>1</v>
      </c>
      <c r="BB46" s="1">
        <f t="shared" si="40"/>
        <v>5</v>
      </c>
      <c r="BC46" s="1">
        <f t="shared" si="41"/>
        <v>1</v>
      </c>
      <c r="BD46" s="1">
        <f>IF(COUNTIF(BC$40:BC46,BC46)&gt;1,1,0)</f>
        <v>1</v>
      </c>
      <c r="BE46" s="1">
        <f t="shared" si="42"/>
        <v>6</v>
      </c>
      <c r="BF46" s="1">
        <f t="shared" si="43"/>
        <v>1</v>
      </c>
      <c r="BG46" s="1">
        <f>IF(COUNTIF(BF$40:BF46,BF46)&gt;1,1,0)</f>
        <v>0</v>
      </c>
      <c r="BH46" s="1">
        <f t="shared" si="44"/>
        <v>6</v>
      </c>
      <c r="BI46" s="1">
        <f t="shared" si="45"/>
        <v>6</v>
      </c>
      <c r="BJ46" s="1">
        <f>IF(COUNTIF(BI$40:BI46,BI46)&gt;1,1,0)</f>
        <v>0</v>
      </c>
      <c r="BK46" s="1">
        <f t="shared" si="46"/>
        <v>6</v>
      </c>
      <c r="BL46" s="1">
        <f t="shared" si="47"/>
        <v>6</v>
      </c>
      <c r="BM46" s="1">
        <f>IF(COUNTIF(BL$40:BL46,BL46)&gt;1,1,0)</f>
        <v>0</v>
      </c>
      <c r="BN46" s="1">
        <f t="shared" si="48"/>
        <v>6</v>
      </c>
      <c r="BO46" s="1">
        <f t="shared" si="49"/>
        <v>6</v>
      </c>
      <c r="BP46" s="1">
        <f>IF(COUNTIF(BO$40:BO46,BO46)&gt;1,1,0)</f>
        <v>0</v>
      </c>
      <c r="BQ46" s="1">
        <f t="shared" si="50"/>
        <v>6</v>
      </c>
      <c r="BR46" s="1">
        <f t="shared" si="51"/>
        <v>6</v>
      </c>
      <c r="BS46" s="1">
        <f>IF(COUNTIF(BR$40:BR46,BR46)&gt;1,1,0)</f>
        <v>0</v>
      </c>
      <c r="BT46" s="1">
        <f t="shared" si="52"/>
        <v>6</v>
      </c>
      <c r="BU46" s="1">
        <f t="shared" si="53"/>
        <v>6</v>
      </c>
    </row>
    <row r="47" spans="13:73" ht="16.5">
      <c r="M47" s="3"/>
      <c r="AD47" s="1">
        <f t="shared" si="28"/>
        <v>5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0</v>
      </c>
      <c r="AH47" s="1">
        <f t="shared" si="27"/>
        <v>0</v>
      </c>
      <c r="AI47" s="1">
        <f t="shared" si="27"/>
        <v>0</v>
      </c>
      <c r="AJ47" s="1">
        <f t="shared" si="27"/>
        <v>0</v>
      </c>
      <c r="AK47" s="1">
        <f t="shared" si="27"/>
        <v>0</v>
      </c>
      <c r="AL47" s="1">
        <f t="shared" si="29"/>
        <v>0</v>
      </c>
      <c r="AM47" s="1">
        <f t="shared" si="30"/>
        <v>0</v>
      </c>
      <c r="AN47" s="1">
        <f t="shared" si="31"/>
        <v>1</v>
      </c>
      <c r="AO47" s="1">
        <f>IF(COUNTIF(AN$40:AN47,AN47)&gt;1,1,0)</f>
        <v>1</v>
      </c>
      <c r="AP47" s="1">
        <f t="shared" si="32"/>
        <v>1</v>
      </c>
      <c r="AQ47" s="1">
        <f t="shared" si="33"/>
        <v>1</v>
      </c>
      <c r="AR47" s="1">
        <f>IF(COUNTIF(AQ$40:AQ47,AQ47)&gt;1,1,0)</f>
        <v>1</v>
      </c>
      <c r="AS47" s="1">
        <f t="shared" si="34"/>
        <v>2</v>
      </c>
      <c r="AT47" s="1">
        <f t="shared" si="35"/>
        <v>1</v>
      </c>
      <c r="AU47" s="1">
        <f>IF(COUNTIF(AT$40:AT47,AT47)&gt;1,1,0)</f>
        <v>1</v>
      </c>
      <c r="AV47" s="1">
        <f t="shared" si="36"/>
        <v>3</v>
      </c>
      <c r="AW47" s="1">
        <f t="shared" si="37"/>
        <v>1</v>
      </c>
      <c r="AX47" s="1">
        <f>IF(COUNTIF(AW$40:AW47,AW47)&gt;1,1,0)</f>
        <v>1</v>
      </c>
      <c r="AY47" s="1">
        <f t="shared" si="38"/>
        <v>4</v>
      </c>
      <c r="AZ47" s="1">
        <f t="shared" si="39"/>
        <v>1</v>
      </c>
      <c r="BA47" s="1">
        <f>IF(COUNTIF(AZ$40:AZ47,AZ47)&gt;1,1,0)</f>
        <v>1</v>
      </c>
      <c r="BB47" s="1">
        <f t="shared" si="40"/>
        <v>5</v>
      </c>
      <c r="BC47" s="1">
        <f t="shared" si="41"/>
        <v>1</v>
      </c>
      <c r="BD47" s="1">
        <f>IF(COUNTIF(BC$40:BC47,BC47)&gt;1,1,0)</f>
        <v>1</v>
      </c>
      <c r="BE47" s="1">
        <f t="shared" si="42"/>
        <v>6</v>
      </c>
      <c r="BF47" s="1">
        <f t="shared" si="43"/>
        <v>1</v>
      </c>
      <c r="BG47" s="1">
        <f>IF(COUNTIF(BF$40:BF47,BF47)&gt;1,1,0)</f>
        <v>1</v>
      </c>
      <c r="BH47" s="1">
        <f t="shared" si="44"/>
        <v>7</v>
      </c>
      <c r="BI47" s="1">
        <f t="shared" si="45"/>
        <v>1</v>
      </c>
      <c r="BJ47" s="1">
        <f>IF(COUNTIF(BI$40:BI47,BI47)&gt;1,1,0)</f>
        <v>0</v>
      </c>
      <c r="BK47" s="1">
        <f t="shared" si="46"/>
        <v>7</v>
      </c>
      <c r="BL47" s="1">
        <f t="shared" si="47"/>
        <v>5</v>
      </c>
      <c r="BM47" s="1">
        <f>IF(COUNTIF(BL$40:BL47,BL47)&gt;1,1,0)</f>
        <v>0</v>
      </c>
      <c r="BN47" s="1">
        <f t="shared" si="48"/>
        <v>7</v>
      </c>
      <c r="BO47" s="1">
        <f t="shared" si="49"/>
        <v>5</v>
      </c>
      <c r="BP47" s="1">
        <f>IF(COUNTIF(BO$40:BO47,BO47)&gt;1,1,0)</f>
        <v>0</v>
      </c>
      <c r="BQ47" s="1">
        <f t="shared" si="50"/>
        <v>7</v>
      </c>
      <c r="BR47" s="1">
        <f t="shared" si="51"/>
        <v>5</v>
      </c>
      <c r="BS47" s="1">
        <f>IF(COUNTIF(BR$40:BR47,BR47)&gt;1,1,0)</f>
        <v>0</v>
      </c>
      <c r="BT47" s="1">
        <f t="shared" si="52"/>
        <v>7</v>
      </c>
      <c r="BU47" s="1">
        <f t="shared" si="53"/>
        <v>5</v>
      </c>
    </row>
    <row r="48" spans="30:73" ht="16.5">
      <c r="AD48" s="1">
        <f t="shared" si="28"/>
        <v>4</v>
      </c>
      <c r="AE48" s="1" t="str">
        <f t="shared" si="26"/>
        <v>RSV Hannover</v>
      </c>
      <c r="AF48" s="1" t="str">
        <f>Saisondaten!$C$17</f>
        <v>B</v>
      </c>
      <c r="AG48" s="1">
        <f t="shared" si="27"/>
        <v>0</v>
      </c>
      <c r="AH48" s="1">
        <f t="shared" si="27"/>
        <v>0</v>
      </c>
      <c r="AI48" s="1">
        <f t="shared" si="27"/>
        <v>0</v>
      </c>
      <c r="AJ48" s="1">
        <f t="shared" si="27"/>
        <v>0</v>
      </c>
      <c r="AK48" s="1">
        <f t="shared" si="27"/>
        <v>0</v>
      </c>
      <c r="AL48" s="1">
        <f t="shared" si="29"/>
        <v>0</v>
      </c>
      <c r="AM48" s="1">
        <f t="shared" si="30"/>
        <v>0</v>
      </c>
      <c r="AN48" s="1">
        <f t="shared" si="31"/>
        <v>1</v>
      </c>
      <c r="AO48" s="1">
        <f>IF(COUNTIF(AN$40:AN48,AN48)&gt;1,1,0)</f>
        <v>1</v>
      </c>
      <c r="AP48" s="1">
        <f t="shared" si="32"/>
        <v>1</v>
      </c>
      <c r="AQ48" s="1">
        <f t="shared" si="33"/>
        <v>1</v>
      </c>
      <c r="AR48" s="1">
        <f>IF(COUNTIF(AQ$40:AQ48,AQ48)&gt;1,1,0)</f>
        <v>1</v>
      </c>
      <c r="AS48" s="1">
        <f t="shared" si="34"/>
        <v>2</v>
      </c>
      <c r="AT48" s="1">
        <f t="shared" si="35"/>
        <v>1</v>
      </c>
      <c r="AU48" s="1">
        <f>IF(COUNTIF(AT$40:AT48,AT48)&gt;1,1,0)</f>
        <v>1</v>
      </c>
      <c r="AV48" s="1">
        <f t="shared" si="36"/>
        <v>3</v>
      </c>
      <c r="AW48" s="1">
        <f t="shared" si="37"/>
        <v>1</v>
      </c>
      <c r="AX48" s="1">
        <f>IF(COUNTIF(AW$40:AW48,AW48)&gt;1,1,0)</f>
        <v>1</v>
      </c>
      <c r="AY48" s="1">
        <f t="shared" si="38"/>
        <v>4</v>
      </c>
      <c r="AZ48" s="1">
        <f t="shared" si="39"/>
        <v>1</v>
      </c>
      <c r="BA48" s="1">
        <f>IF(COUNTIF(AZ$40:AZ48,AZ48)&gt;1,1,0)</f>
        <v>1</v>
      </c>
      <c r="BB48" s="1">
        <f t="shared" si="40"/>
        <v>5</v>
      </c>
      <c r="BC48" s="1">
        <f t="shared" si="41"/>
        <v>1</v>
      </c>
      <c r="BD48" s="1">
        <f>IF(COUNTIF(BC$40:BC48,BC48)&gt;1,1,0)</f>
        <v>1</v>
      </c>
      <c r="BE48" s="1">
        <f t="shared" si="42"/>
        <v>6</v>
      </c>
      <c r="BF48" s="1">
        <f t="shared" si="43"/>
        <v>1</v>
      </c>
      <c r="BG48" s="1">
        <f>IF(COUNTIF(BF$40:BF48,BF48)&gt;1,1,0)</f>
        <v>1</v>
      </c>
      <c r="BH48" s="1">
        <f t="shared" si="44"/>
        <v>7</v>
      </c>
      <c r="BI48" s="1">
        <f t="shared" si="45"/>
        <v>1</v>
      </c>
      <c r="BJ48" s="1">
        <f>IF(COUNTIF(BI$40:BI48,BI48)&gt;1,1,0)</f>
        <v>1</v>
      </c>
      <c r="BK48" s="1">
        <f t="shared" si="46"/>
        <v>8</v>
      </c>
      <c r="BL48" s="1">
        <f t="shared" si="47"/>
        <v>1</v>
      </c>
      <c r="BM48" s="1">
        <f>IF(COUNTIF(BL$40:BL48,BL48)&gt;1,1,0)</f>
        <v>0</v>
      </c>
      <c r="BN48" s="1">
        <f t="shared" si="48"/>
        <v>8</v>
      </c>
      <c r="BO48" s="1">
        <f t="shared" si="49"/>
        <v>4</v>
      </c>
      <c r="BP48" s="1">
        <f>IF(COUNTIF(BO$40:BO48,BO48)&gt;1,1,0)</f>
        <v>0</v>
      </c>
      <c r="BQ48" s="1">
        <f t="shared" si="50"/>
        <v>8</v>
      </c>
      <c r="BR48" s="1">
        <f t="shared" si="51"/>
        <v>4</v>
      </c>
      <c r="BS48" s="1">
        <f>IF(COUNTIF(BR$40:BR48,BR48)&gt;1,1,0)</f>
        <v>0</v>
      </c>
      <c r="BT48" s="1">
        <f t="shared" si="52"/>
        <v>8</v>
      </c>
      <c r="BU48" s="1">
        <f t="shared" si="53"/>
        <v>4</v>
      </c>
    </row>
    <row r="49" spans="30:73" ht="16.5">
      <c r="AD49" s="1">
        <f t="shared" si="28"/>
        <v>3</v>
      </c>
      <c r="AE49" s="1" t="str">
        <f t="shared" si="26"/>
        <v>VK Berlin</v>
      </c>
      <c r="AF49" s="1" t="str">
        <f>Saisondaten!$C$17</f>
        <v>B</v>
      </c>
      <c r="AG49" s="1">
        <f t="shared" si="27"/>
        <v>0</v>
      </c>
      <c r="AH49" s="1">
        <f t="shared" si="27"/>
        <v>0</v>
      </c>
      <c r="AI49" s="1">
        <f t="shared" si="27"/>
        <v>0</v>
      </c>
      <c r="AJ49" s="1">
        <f t="shared" si="27"/>
        <v>0</v>
      </c>
      <c r="AK49" s="1">
        <f t="shared" si="27"/>
        <v>0</v>
      </c>
      <c r="AL49" s="1">
        <f t="shared" si="29"/>
        <v>0</v>
      </c>
      <c r="AM49" s="1">
        <f t="shared" si="30"/>
        <v>0</v>
      </c>
      <c r="AN49" s="1">
        <f t="shared" si="31"/>
        <v>1</v>
      </c>
      <c r="AO49" s="1">
        <f>IF(COUNTIF(AN$40:AN49,AN49)&gt;1,1,0)</f>
        <v>1</v>
      </c>
      <c r="AP49" s="1">
        <f t="shared" si="32"/>
        <v>1</v>
      </c>
      <c r="AQ49" s="1">
        <f t="shared" si="33"/>
        <v>1</v>
      </c>
      <c r="AR49" s="1">
        <f>IF(COUNTIF(AQ$40:AQ49,AQ49)&gt;1,1,0)</f>
        <v>1</v>
      </c>
      <c r="AS49" s="1">
        <f t="shared" si="34"/>
        <v>2</v>
      </c>
      <c r="AT49" s="1">
        <f t="shared" si="35"/>
        <v>1</v>
      </c>
      <c r="AU49" s="1">
        <f>IF(COUNTIF(AT$40:AT49,AT49)&gt;1,1,0)</f>
        <v>1</v>
      </c>
      <c r="AV49" s="1">
        <f t="shared" si="36"/>
        <v>3</v>
      </c>
      <c r="AW49" s="1">
        <f t="shared" si="37"/>
        <v>1</v>
      </c>
      <c r="AX49" s="1">
        <f>IF(COUNTIF(AW$40:AW49,AW49)&gt;1,1,0)</f>
        <v>1</v>
      </c>
      <c r="AY49" s="1">
        <f t="shared" si="38"/>
        <v>4</v>
      </c>
      <c r="AZ49" s="1">
        <f t="shared" si="39"/>
        <v>1</v>
      </c>
      <c r="BA49" s="1">
        <f>IF(COUNTIF(AZ$40:AZ49,AZ49)&gt;1,1,0)</f>
        <v>1</v>
      </c>
      <c r="BB49" s="1">
        <f t="shared" si="40"/>
        <v>5</v>
      </c>
      <c r="BC49" s="1">
        <f t="shared" si="41"/>
        <v>1</v>
      </c>
      <c r="BD49" s="1">
        <f>IF(COUNTIF(BC$40:BC49,BC49)&gt;1,1,0)</f>
        <v>1</v>
      </c>
      <c r="BE49" s="1">
        <f t="shared" si="42"/>
        <v>6</v>
      </c>
      <c r="BF49" s="1">
        <f t="shared" si="43"/>
        <v>1</v>
      </c>
      <c r="BG49" s="1">
        <f>IF(COUNTIF(BF$40:BF49,BF49)&gt;1,1,0)</f>
        <v>1</v>
      </c>
      <c r="BH49" s="1">
        <f t="shared" si="44"/>
        <v>7</v>
      </c>
      <c r="BI49" s="1">
        <f t="shared" si="45"/>
        <v>1</v>
      </c>
      <c r="BJ49" s="1">
        <f>IF(COUNTIF(BI$40:BI49,BI49)&gt;1,1,0)</f>
        <v>1</v>
      </c>
      <c r="BK49" s="1">
        <f t="shared" si="46"/>
        <v>8</v>
      </c>
      <c r="BL49" s="1">
        <f t="shared" si="47"/>
        <v>1</v>
      </c>
      <c r="BM49" s="1">
        <f>IF(COUNTIF(BL$40:BL49,BL49)&gt;1,1,0)</f>
        <v>1</v>
      </c>
      <c r="BN49" s="1">
        <f t="shared" si="48"/>
        <v>9</v>
      </c>
      <c r="BO49" s="1">
        <f t="shared" si="49"/>
        <v>1</v>
      </c>
      <c r="BP49" s="1">
        <f>IF(COUNTIF(BO$40:BO49,BO49)&gt;1,1,0)</f>
        <v>0</v>
      </c>
      <c r="BQ49" s="1">
        <f t="shared" si="50"/>
        <v>9</v>
      </c>
      <c r="BR49" s="1">
        <f t="shared" si="51"/>
        <v>3</v>
      </c>
      <c r="BS49" s="1">
        <f>IF(COUNTIF(BR$40:BR49,BR49)&gt;1,1,0)</f>
        <v>0</v>
      </c>
      <c r="BT49" s="1">
        <f t="shared" si="52"/>
        <v>9</v>
      </c>
      <c r="BU49" s="1">
        <f t="shared" si="53"/>
        <v>3</v>
      </c>
    </row>
    <row r="50" spans="30:73" ht="16.5">
      <c r="AD50" s="1">
        <f t="shared" si="28"/>
        <v>2</v>
      </c>
      <c r="AE50" s="1" t="str">
        <f t="shared" si="26"/>
        <v>KSV Glauchau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0</v>
      </c>
      <c r="AJ50" s="1">
        <f t="shared" si="27"/>
        <v>0</v>
      </c>
      <c r="AK50" s="1">
        <f t="shared" si="27"/>
        <v>0</v>
      </c>
      <c r="AL50" s="1">
        <f t="shared" si="29"/>
        <v>0</v>
      </c>
      <c r="AM50" s="1">
        <f t="shared" si="30"/>
        <v>0</v>
      </c>
      <c r="AN50" s="1">
        <f t="shared" si="31"/>
        <v>1</v>
      </c>
      <c r="AO50" s="1">
        <f>IF(COUNTIF(AN$40:AN50,AN50)&gt;1,1,0)</f>
        <v>1</v>
      </c>
      <c r="AP50" s="1">
        <f t="shared" si="32"/>
        <v>1</v>
      </c>
      <c r="AQ50" s="1">
        <f t="shared" si="33"/>
        <v>1</v>
      </c>
      <c r="AR50" s="1">
        <f>IF(COUNTIF(AQ$40:AQ50,AQ50)&gt;1,1,0)</f>
        <v>1</v>
      </c>
      <c r="AS50" s="1">
        <f t="shared" si="34"/>
        <v>2</v>
      </c>
      <c r="AT50" s="1">
        <f t="shared" si="35"/>
        <v>1</v>
      </c>
      <c r="AU50" s="1">
        <f>IF(COUNTIF(AT$40:AT50,AT50)&gt;1,1,0)</f>
        <v>1</v>
      </c>
      <c r="AV50" s="1">
        <f t="shared" si="36"/>
        <v>3</v>
      </c>
      <c r="AW50" s="1">
        <f t="shared" si="37"/>
        <v>1</v>
      </c>
      <c r="AX50" s="1">
        <f>IF(COUNTIF(AW$40:AW50,AW50)&gt;1,1,0)</f>
        <v>1</v>
      </c>
      <c r="AY50" s="1">
        <f t="shared" si="38"/>
        <v>4</v>
      </c>
      <c r="AZ50" s="1">
        <f t="shared" si="39"/>
        <v>1</v>
      </c>
      <c r="BA50" s="1">
        <f>IF(COUNTIF(AZ$40:AZ50,AZ50)&gt;1,1,0)</f>
        <v>1</v>
      </c>
      <c r="BB50" s="1">
        <f t="shared" si="40"/>
        <v>5</v>
      </c>
      <c r="BC50" s="1">
        <f t="shared" si="41"/>
        <v>1</v>
      </c>
      <c r="BD50" s="1">
        <f>IF(COUNTIF(BC$40:BC50,BC50)&gt;1,1,0)</f>
        <v>1</v>
      </c>
      <c r="BE50" s="1">
        <f t="shared" si="42"/>
        <v>6</v>
      </c>
      <c r="BF50" s="1">
        <f t="shared" si="43"/>
        <v>1</v>
      </c>
      <c r="BG50" s="1">
        <f>IF(COUNTIF(BF$40:BF50,BF50)&gt;1,1,0)</f>
        <v>1</v>
      </c>
      <c r="BH50" s="1">
        <f t="shared" si="44"/>
        <v>7</v>
      </c>
      <c r="BI50" s="1">
        <f t="shared" si="45"/>
        <v>1</v>
      </c>
      <c r="BJ50" s="1">
        <f>IF(COUNTIF(BI$40:BI50,BI50)&gt;1,1,0)</f>
        <v>1</v>
      </c>
      <c r="BK50" s="1">
        <f t="shared" si="46"/>
        <v>8</v>
      </c>
      <c r="BL50" s="1">
        <f t="shared" si="47"/>
        <v>1</v>
      </c>
      <c r="BM50" s="1">
        <f>IF(COUNTIF(BL$40:BL50,BL50)&gt;1,1,0)</f>
        <v>1</v>
      </c>
      <c r="BN50" s="1">
        <f t="shared" si="48"/>
        <v>9</v>
      </c>
      <c r="BO50" s="1">
        <f t="shared" si="49"/>
        <v>1</v>
      </c>
      <c r="BP50" s="1">
        <f>IF(COUNTIF(BO$40:BO50,BO50)&gt;1,1,0)</f>
        <v>1</v>
      </c>
      <c r="BQ50" s="1">
        <f t="shared" si="50"/>
        <v>10</v>
      </c>
      <c r="BR50" s="1">
        <f t="shared" si="51"/>
        <v>1</v>
      </c>
      <c r="BS50" s="1">
        <f>IF(COUNTIF(BR$40:BR50,BR50)&gt;1,1,0)</f>
        <v>0</v>
      </c>
      <c r="BT50" s="1">
        <f t="shared" si="52"/>
        <v>10</v>
      </c>
      <c r="BU50" s="1">
        <f t="shared" si="53"/>
        <v>2</v>
      </c>
    </row>
    <row r="51" spans="30:73" ht="16.5">
      <c r="AD51" s="1">
        <f t="shared" si="28"/>
        <v>1</v>
      </c>
      <c r="AE51" s="1" t="str">
        <f t="shared" si="26"/>
        <v>KSVH Berlin</v>
      </c>
      <c r="AF51" s="1" t="str">
        <f>Saisondaten!$C$17</f>
        <v>B</v>
      </c>
      <c r="AG51" s="1">
        <f t="shared" si="27"/>
        <v>0</v>
      </c>
      <c r="AH51" s="1">
        <f t="shared" si="27"/>
        <v>0</v>
      </c>
      <c r="AI51" s="1">
        <f t="shared" si="27"/>
        <v>0</v>
      </c>
      <c r="AJ51" s="1">
        <f t="shared" si="27"/>
        <v>0</v>
      </c>
      <c r="AK51" s="1">
        <f t="shared" si="27"/>
        <v>0</v>
      </c>
      <c r="AL51" s="1">
        <f t="shared" si="29"/>
        <v>0</v>
      </c>
      <c r="AM51" s="1">
        <f t="shared" si="30"/>
        <v>0</v>
      </c>
      <c r="AN51" s="1">
        <f t="shared" si="31"/>
        <v>1</v>
      </c>
      <c r="AO51" s="1">
        <f>IF(COUNTIF(AN$40:AN51,AN51)&gt;1,1,0)</f>
        <v>1</v>
      </c>
      <c r="AP51" s="1">
        <f t="shared" si="32"/>
        <v>1</v>
      </c>
      <c r="AQ51" s="1">
        <f t="shared" si="33"/>
        <v>1</v>
      </c>
      <c r="AR51" s="1">
        <f>IF(COUNTIF(AQ$40:AQ51,AQ51)&gt;1,1,0)</f>
        <v>1</v>
      </c>
      <c r="AS51" s="1">
        <f t="shared" si="34"/>
        <v>2</v>
      </c>
      <c r="AT51" s="1">
        <f t="shared" si="35"/>
        <v>1</v>
      </c>
      <c r="AU51" s="1">
        <f>IF(COUNTIF(AT$40:AT51,AT51)&gt;1,1,0)</f>
        <v>1</v>
      </c>
      <c r="AV51" s="1">
        <f t="shared" si="36"/>
        <v>3</v>
      </c>
      <c r="AW51" s="1">
        <f t="shared" si="37"/>
        <v>1</v>
      </c>
      <c r="AX51" s="1">
        <f>IF(COUNTIF(AW$40:AW51,AW51)&gt;1,1,0)</f>
        <v>1</v>
      </c>
      <c r="AY51" s="1">
        <f t="shared" si="38"/>
        <v>4</v>
      </c>
      <c r="AZ51" s="1">
        <f t="shared" si="39"/>
        <v>1</v>
      </c>
      <c r="BA51" s="1">
        <f>IF(COUNTIF(AZ$40:AZ51,AZ51)&gt;1,1,0)</f>
        <v>1</v>
      </c>
      <c r="BB51" s="1">
        <f t="shared" si="40"/>
        <v>5</v>
      </c>
      <c r="BC51" s="1">
        <f t="shared" si="41"/>
        <v>1</v>
      </c>
      <c r="BD51" s="1">
        <f>IF(COUNTIF(BC$40:BC51,BC51)&gt;1,1,0)</f>
        <v>1</v>
      </c>
      <c r="BE51" s="1">
        <f t="shared" si="42"/>
        <v>6</v>
      </c>
      <c r="BF51" s="1">
        <f t="shared" si="43"/>
        <v>1</v>
      </c>
      <c r="BG51" s="1">
        <f>IF(COUNTIF(BF$40:BF51,BF51)&gt;1,1,0)</f>
        <v>1</v>
      </c>
      <c r="BH51" s="1">
        <f t="shared" si="44"/>
        <v>7</v>
      </c>
      <c r="BI51" s="1">
        <f t="shared" si="45"/>
        <v>1</v>
      </c>
      <c r="BJ51" s="1">
        <f>IF(COUNTIF(BI$40:BI51,BI51)&gt;1,1,0)</f>
        <v>1</v>
      </c>
      <c r="BK51" s="1">
        <f t="shared" si="46"/>
        <v>8</v>
      </c>
      <c r="BL51" s="1">
        <f t="shared" si="47"/>
        <v>1</v>
      </c>
      <c r="BM51" s="1">
        <f>IF(COUNTIF(BL$40:BL51,BL51)&gt;1,1,0)</f>
        <v>1</v>
      </c>
      <c r="BN51" s="1">
        <f t="shared" si="48"/>
        <v>9</v>
      </c>
      <c r="BO51" s="1">
        <f t="shared" si="49"/>
        <v>1</v>
      </c>
      <c r="BP51" s="1">
        <f>IF(COUNTIF(BO$40:BO51,BO51)&gt;1,1,0)</f>
        <v>1</v>
      </c>
      <c r="BQ51" s="1">
        <f t="shared" si="50"/>
        <v>10</v>
      </c>
      <c r="BR51" s="1">
        <f t="shared" si="51"/>
        <v>1</v>
      </c>
      <c r="BS51" s="1">
        <f>IF(COUNTIF(BR$40:BR51,BR51)&gt;1,1,0)</f>
        <v>1</v>
      </c>
      <c r="BT51" s="1">
        <f t="shared" si="52"/>
        <v>11</v>
      </c>
      <c r="BU51" s="1">
        <f t="shared" si="53"/>
        <v>1</v>
      </c>
    </row>
  </sheetData>
  <sheetProtection sheet="1" objects="1" scenarios="1" selectLockedCells="1"/>
  <mergeCells count="8">
    <mergeCell ref="A32:N32"/>
    <mergeCell ref="AM39:AP39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Kanupolo Bundesliga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Saisontabelle</dc:title>
  <dc:subject/>
  <dc:creator>Hans Kürsten</dc:creator>
  <cp:keywords/>
  <dc:description/>
  <cp:lastModifiedBy>Hans Kürsten</cp:lastModifiedBy>
  <cp:lastPrinted>2018-04-07T06:46:53Z</cp:lastPrinted>
  <dcterms:created xsi:type="dcterms:W3CDTF">2015-11-27T13:51:15Z</dcterms:created>
  <dcterms:modified xsi:type="dcterms:W3CDTF">2018-07-20T10:34:59Z</dcterms:modified>
  <cp:category/>
  <cp:version/>
  <cp:contentType/>
  <cp:contentStatus/>
</cp:coreProperties>
</file>